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Hoppe\Documents\Trabalhos\Projetos\Species - First\[Albinism] Artibeus obscurus\1st Submission\"/>
    </mc:Choice>
  </mc:AlternateContent>
  <bookViews>
    <workbookView xWindow="0" yWindow="0" windowWidth="20490" windowHeight="7950"/>
  </bookViews>
  <sheets>
    <sheet name="Data" sheetId="7" r:id="rId1"/>
    <sheet name="Ref" sheetId="2" r:id="rId2"/>
    <sheet name="Gazetteer" sheetId="6" r:id="rId3"/>
  </sheets>
  <definedNames>
    <definedName name="_xlnm._FilterDatabase" localSheetId="0" hidden="1">Data!$A$1:$AA$150</definedName>
    <definedName name="_xlnm._FilterDatabase" localSheetId="2" hidden="1">Gazetteer!$A$2:$Q$258</definedName>
    <definedName name="_xlnm._FilterDatabase" localSheetId="1" hidden="1">Ref!$A$1:$J$156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3" i="7" l="1" a="1"/>
  <c r="T103" i="7" s="1"/>
  <c r="U103" i="7" a="1"/>
  <c r="U103" i="7" s="1"/>
  <c r="V103" i="7"/>
  <c r="T5" i="7" a="1"/>
  <c r="T5" i="7" s="1"/>
  <c r="U5" i="7" a="1"/>
  <c r="U5" i="7" s="1"/>
  <c r="V5" i="7"/>
  <c r="V150" i="7"/>
  <c r="U150" i="7" a="1"/>
  <c r="U150" i="7" s="1"/>
  <c r="T150" i="7" a="1"/>
  <c r="T150" i="7" s="1"/>
  <c r="V149" i="7"/>
  <c r="U149" i="7" a="1"/>
  <c r="U149" i="7" s="1"/>
  <c r="T149" i="7" a="1"/>
  <c r="T149" i="7" s="1"/>
  <c r="V148" i="7"/>
  <c r="U148" i="7" a="1"/>
  <c r="U148" i="7" s="1"/>
  <c r="T148" i="7" a="1"/>
  <c r="T148" i="7" s="1"/>
  <c r="V147" i="7"/>
  <c r="U147" i="7" a="1"/>
  <c r="U147" i="7" s="1"/>
  <c r="T147" i="7" a="1"/>
  <c r="T147" i="7" s="1"/>
  <c r="V146" i="7"/>
  <c r="U146" i="7" a="1"/>
  <c r="U146" i="7" s="1"/>
  <c r="T146" i="7" a="1"/>
  <c r="T146" i="7" s="1"/>
  <c r="V145" i="7"/>
  <c r="U145" i="7" a="1"/>
  <c r="U145" i="7" s="1"/>
  <c r="T145" i="7" a="1"/>
  <c r="T145" i="7" s="1"/>
  <c r="V144" i="7"/>
  <c r="U144" i="7" a="1"/>
  <c r="U144" i="7" s="1"/>
  <c r="T144" i="7" a="1"/>
  <c r="T144" i="7" s="1"/>
  <c r="V143" i="7"/>
  <c r="U143" i="7" a="1"/>
  <c r="U143" i="7" s="1"/>
  <c r="T143" i="7" a="1"/>
  <c r="T143" i="7" s="1"/>
  <c r="V142" i="7"/>
  <c r="U142" i="7" a="1"/>
  <c r="U142" i="7" s="1"/>
  <c r="T142" i="7" a="1"/>
  <c r="T142" i="7" s="1"/>
  <c r="V141" i="7"/>
  <c r="U141" i="7" a="1"/>
  <c r="U141" i="7" s="1"/>
  <c r="T141" i="7" a="1"/>
  <c r="T141" i="7" s="1"/>
  <c r="V140" i="7"/>
  <c r="U140" i="7" a="1"/>
  <c r="U140" i="7" s="1"/>
  <c r="T140" i="7" a="1"/>
  <c r="T140" i="7" s="1"/>
  <c r="V139" i="7"/>
  <c r="U139" i="7" a="1"/>
  <c r="U139" i="7" s="1"/>
  <c r="T139" i="7" a="1"/>
  <c r="T139" i="7" s="1"/>
  <c r="V138" i="7"/>
  <c r="U138" i="7" a="1"/>
  <c r="U138" i="7" s="1"/>
  <c r="T138" i="7" a="1"/>
  <c r="T138" i="7" s="1"/>
  <c r="V137" i="7"/>
  <c r="U137" i="7" a="1"/>
  <c r="U137" i="7" s="1"/>
  <c r="T137" i="7" a="1"/>
  <c r="T137" i="7" s="1"/>
  <c r="V136" i="7"/>
  <c r="U136" i="7" a="1"/>
  <c r="U136" i="7" s="1"/>
  <c r="T136" i="7" a="1"/>
  <c r="T136" i="7" s="1"/>
  <c r="V135" i="7"/>
  <c r="U135" i="7" a="1"/>
  <c r="U135" i="7" s="1"/>
  <c r="T135" i="7" a="1"/>
  <c r="T135" i="7" s="1"/>
  <c r="V134" i="7"/>
  <c r="U134" i="7" a="1"/>
  <c r="U134" i="7" s="1"/>
  <c r="T134" i="7" a="1"/>
  <c r="T134" i="7" s="1"/>
  <c r="V133" i="7"/>
  <c r="U133" i="7" a="1"/>
  <c r="U133" i="7" s="1"/>
  <c r="T133" i="7" a="1"/>
  <c r="T133" i="7" s="1"/>
  <c r="V132" i="7"/>
  <c r="U132" i="7" a="1"/>
  <c r="U132" i="7" s="1"/>
  <c r="T132" i="7" a="1"/>
  <c r="T132" i="7" s="1"/>
  <c r="V131" i="7"/>
  <c r="U131" i="7" a="1"/>
  <c r="U131" i="7" s="1"/>
  <c r="T131" i="7" a="1"/>
  <c r="T131" i="7" s="1"/>
  <c r="V130" i="7"/>
  <c r="U130" i="7" a="1"/>
  <c r="U130" i="7" s="1"/>
  <c r="T130" i="7" a="1"/>
  <c r="T130" i="7" s="1"/>
  <c r="V129" i="7"/>
  <c r="U129" i="7" a="1"/>
  <c r="U129" i="7" s="1"/>
  <c r="T129" i="7" a="1"/>
  <c r="T129" i="7" s="1"/>
  <c r="V128" i="7"/>
  <c r="U128" i="7" a="1"/>
  <c r="U128" i="7" s="1"/>
  <c r="T128" i="7" a="1"/>
  <c r="T128" i="7" s="1"/>
  <c r="V127" i="7"/>
  <c r="U127" i="7" a="1"/>
  <c r="U127" i="7" s="1"/>
  <c r="T127" i="7" a="1"/>
  <c r="T127" i="7" s="1"/>
  <c r="V126" i="7"/>
  <c r="U126" i="7" a="1"/>
  <c r="U126" i="7" s="1"/>
  <c r="T126" i="7" a="1"/>
  <c r="T126" i="7" s="1"/>
  <c r="V125" i="7"/>
  <c r="U125" i="7" a="1"/>
  <c r="U125" i="7" s="1"/>
  <c r="T125" i="7" a="1"/>
  <c r="T125" i="7" s="1"/>
  <c r="V124" i="7"/>
  <c r="U124" i="7" a="1"/>
  <c r="U124" i="7" s="1"/>
  <c r="T124" i="7" a="1"/>
  <c r="T124" i="7" s="1"/>
  <c r="V123" i="7"/>
  <c r="U123" i="7" a="1"/>
  <c r="U123" i="7" s="1"/>
  <c r="T123" i="7" a="1"/>
  <c r="T123" i="7" s="1"/>
  <c r="V122" i="7"/>
  <c r="U122" i="7" a="1"/>
  <c r="U122" i="7" s="1"/>
  <c r="T122" i="7" a="1"/>
  <c r="T122" i="7" s="1"/>
  <c r="V121" i="7"/>
  <c r="U121" i="7" a="1"/>
  <c r="U121" i="7" s="1"/>
  <c r="T121" i="7" a="1"/>
  <c r="T121" i="7" s="1"/>
  <c r="V120" i="7"/>
  <c r="U120" i="7" a="1"/>
  <c r="U120" i="7" s="1"/>
  <c r="T120" i="7" a="1"/>
  <c r="T120" i="7" s="1"/>
  <c r="V119" i="7"/>
  <c r="U119" i="7" a="1"/>
  <c r="U119" i="7" s="1"/>
  <c r="T119" i="7" a="1"/>
  <c r="T119" i="7" s="1"/>
  <c r="V118" i="7"/>
  <c r="U118" i="7" a="1"/>
  <c r="U118" i="7" s="1"/>
  <c r="T118" i="7" a="1"/>
  <c r="T118" i="7" s="1"/>
  <c r="V117" i="7"/>
  <c r="U117" i="7" a="1"/>
  <c r="U117" i="7" s="1"/>
  <c r="T117" i="7" a="1"/>
  <c r="T117" i="7" s="1"/>
  <c r="V116" i="7"/>
  <c r="U116" i="7" a="1"/>
  <c r="U116" i="7" s="1"/>
  <c r="T116" i="7" a="1"/>
  <c r="T116" i="7" s="1"/>
  <c r="V115" i="7"/>
  <c r="U115" i="7" a="1"/>
  <c r="U115" i="7" s="1"/>
  <c r="T115" i="7" a="1"/>
  <c r="T115" i="7" s="1"/>
  <c r="V114" i="7"/>
  <c r="U114" i="7" a="1"/>
  <c r="U114" i="7" s="1"/>
  <c r="T114" i="7" a="1"/>
  <c r="T114" i="7" s="1"/>
  <c r="V113" i="7"/>
  <c r="U113" i="7" a="1"/>
  <c r="U113" i="7" s="1"/>
  <c r="T113" i="7" a="1"/>
  <c r="T113" i="7" s="1"/>
  <c r="V112" i="7"/>
  <c r="U112" i="7" a="1"/>
  <c r="U112" i="7" s="1"/>
  <c r="T112" i="7" a="1"/>
  <c r="T112" i="7" s="1"/>
  <c r="V111" i="7"/>
  <c r="U111" i="7" a="1"/>
  <c r="U111" i="7" s="1"/>
  <c r="T111" i="7" a="1"/>
  <c r="T111" i="7" s="1"/>
  <c r="V110" i="7"/>
  <c r="U110" i="7" a="1"/>
  <c r="U110" i="7" s="1"/>
  <c r="T110" i="7" a="1"/>
  <c r="T110" i="7" s="1"/>
  <c r="V109" i="7"/>
  <c r="U109" i="7" a="1"/>
  <c r="U109" i="7" s="1"/>
  <c r="T109" i="7" a="1"/>
  <c r="T109" i="7" s="1"/>
  <c r="V108" i="7"/>
  <c r="U108" i="7" a="1"/>
  <c r="U108" i="7" s="1"/>
  <c r="T108" i="7" a="1"/>
  <c r="T108" i="7" s="1"/>
  <c r="V107" i="7"/>
  <c r="U107" i="7" a="1"/>
  <c r="U107" i="7" s="1"/>
  <c r="T107" i="7" a="1"/>
  <c r="T107" i="7" s="1"/>
  <c r="V106" i="7"/>
  <c r="U106" i="7" a="1"/>
  <c r="U106" i="7" s="1"/>
  <c r="T106" i="7" a="1"/>
  <c r="T106" i="7" s="1"/>
  <c r="V105" i="7"/>
  <c r="U105" i="7" a="1"/>
  <c r="U105" i="7" s="1"/>
  <c r="T105" i="7" a="1"/>
  <c r="T105" i="7" s="1"/>
  <c r="V104" i="7"/>
  <c r="U104" i="7" a="1"/>
  <c r="U104" i="7" s="1"/>
  <c r="T104" i="7" a="1"/>
  <c r="T104" i="7" s="1"/>
  <c r="V102" i="7"/>
  <c r="U102" i="7" a="1"/>
  <c r="U102" i="7" s="1"/>
  <c r="T102" i="7" a="1"/>
  <c r="T102" i="7" s="1"/>
  <c r="V101" i="7"/>
  <c r="U101" i="7" a="1"/>
  <c r="U101" i="7" s="1"/>
  <c r="T101" i="7" a="1"/>
  <c r="T101" i="7" s="1"/>
  <c r="V100" i="7"/>
  <c r="U100" i="7" a="1"/>
  <c r="U100" i="7" s="1"/>
  <c r="T100" i="7" a="1"/>
  <c r="T100" i="7" s="1"/>
  <c r="V99" i="7"/>
  <c r="U99" i="7" a="1"/>
  <c r="U99" i="7" s="1"/>
  <c r="T99" i="7" a="1"/>
  <c r="T99" i="7" s="1"/>
  <c r="V98" i="7"/>
  <c r="U98" i="7" a="1"/>
  <c r="U98" i="7" s="1"/>
  <c r="T98" i="7" a="1"/>
  <c r="T98" i="7" s="1"/>
  <c r="V97" i="7"/>
  <c r="U97" i="7" a="1"/>
  <c r="U97" i="7" s="1"/>
  <c r="T97" i="7" a="1"/>
  <c r="T97" i="7" s="1"/>
  <c r="V96" i="7"/>
  <c r="U96" i="7" a="1"/>
  <c r="U96" i="7" s="1"/>
  <c r="T96" i="7" a="1"/>
  <c r="T96" i="7" s="1"/>
  <c r="V95" i="7"/>
  <c r="U95" i="7" a="1"/>
  <c r="U95" i="7" s="1"/>
  <c r="T95" i="7" a="1"/>
  <c r="T95" i="7" s="1"/>
  <c r="V94" i="7"/>
  <c r="U94" i="7" a="1"/>
  <c r="U94" i="7" s="1"/>
  <c r="T94" i="7" a="1"/>
  <c r="T94" i="7" s="1"/>
  <c r="V93" i="7"/>
  <c r="U93" i="7" a="1"/>
  <c r="U93" i="7" s="1"/>
  <c r="T93" i="7" a="1"/>
  <c r="T93" i="7" s="1"/>
  <c r="V92" i="7"/>
  <c r="U92" i="7" a="1"/>
  <c r="U92" i="7" s="1"/>
  <c r="T92" i="7" a="1"/>
  <c r="T92" i="7" s="1"/>
  <c r="V91" i="7"/>
  <c r="U91" i="7" a="1"/>
  <c r="U91" i="7" s="1"/>
  <c r="T91" i="7" a="1"/>
  <c r="T91" i="7" s="1"/>
  <c r="V90" i="7"/>
  <c r="U90" i="7" a="1"/>
  <c r="U90" i="7" s="1"/>
  <c r="T90" i="7" a="1"/>
  <c r="T90" i="7" s="1"/>
  <c r="V89" i="7"/>
  <c r="U89" i="7" a="1"/>
  <c r="U89" i="7" s="1"/>
  <c r="T89" i="7" a="1"/>
  <c r="T89" i="7" s="1"/>
  <c r="V88" i="7"/>
  <c r="U88" i="7" a="1"/>
  <c r="U88" i="7" s="1"/>
  <c r="T88" i="7" a="1"/>
  <c r="T88" i="7" s="1"/>
  <c r="V87" i="7"/>
  <c r="U87" i="7" a="1"/>
  <c r="U87" i="7" s="1"/>
  <c r="T87" i="7" a="1"/>
  <c r="T87" i="7" s="1"/>
  <c r="V86" i="7"/>
  <c r="U86" i="7" a="1"/>
  <c r="U86" i="7" s="1"/>
  <c r="T86" i="7" a="1"/>
  <c r="T86" i="7" s="1"/>
  <c r="V85" i="7"/>
  <c r="U85" i="7" a="1"/>
  <c r="U85" i="7" s="1"/>
  <c r="T85" i="7" a="1"/>
  <c r="T85" i="7" s="1"/>
  <c r="V84" i="7"/>
  <c r="U84" i="7" a="1"/>
  <c r="U84" i="7" s="1"/>
  <c r="T84" i="7" a="1"/>
  <c r="T84" i="7" s="1"/>
  <c r="V83" i="7"/>
  <c r="U83" i="7" a="1"/>
  <c r="U83" i="7" s="1"/>
  <c r="T83" i="7" a="1"/>
  <c r="T83" i="7" s="1"/>
  <c r="V82" i="7"/>
  <c r="U82" i="7" a="1"/>
  <c r="U82" i="7" s="1"/>
  <c r="T82" i="7" a="1"/>
  <c r="T82" i="7" s="1"/>
  <c r="V81" i="7"/>
  <c r="U81" i="7" a="1"/>
  <c r="U81" i="7" s="1"/>
  <c r="T81" i="7" a="1"/>
  <c r="T81" i="7" s="1"/>
  <c r="V80" i="7"/>
  <c r="U80" i="7" a="1"/>
  <c r="U80" i="7" s="1"/>
  <c r="T80" i="7" a="1"/>
  <c r="T80" i="7" s="1"/>
  <c r="V79" i="7"/>
  <c r="U79" i="7" a="1"/>
  <c r="U79" i="7" s="1"/>
  <c r="T79" i="7" a="1"/>
  <c r="T79" i="7" s="1"/>
  <c r="V78" i="7"/>
  <c r="U78" i="7" a="1"/>
  <c r="U78" i="7" s="1"/>
  <c r="T78" i="7" a="1"/>
  <c r="T78" i="7" s="1"/>
  <c r="V77" i="7"/>
  <c r="U77" i="7" a="1"/>
  <c r="U77" i="7" s="1"/>
  <c r="T77" i="7" a="1"/>
  <c r="T77" i="7" s="1"/>
  <c r="V76" i="7"/>
  <c r="U76" i="7" a="1"/>
  <c r="U76" i="7" s="1"/>
  <c r="T76" i="7" a="1"/>
  <c r="T76" i="7" s="1"/>
  <c r="V75" i="7"/>
  <c r="U75" i="7" a="1"/>
  <c r="U75" i="7" s="1"/>
  <c r="T75" i="7" a="1"/>
  <c r="T75" i="7" s="1"/>
  <c r="V74" i="7"/>
  <c r="U74" i="7" a="1"/>
  <c r="U74" i="7" s="1"/>
  <c r="T74" i="7" a="1"/>
  <c r="T74" i="7" s="1"/>
  <c r="V73" i="7"/>
  <c r="U73" i="7" a="1"/>
  <c r="U73" i="7" s="1"/>
  <c r="T73" i="7" a="1"/>
  <c r="T73" i="7" s="1"/>
  <c r="V72" i="7"/>
  <c r="U72" i="7" a="1"/>
  <c r="U72" i="7" s="1"/>
  <c r="T72" i="7" a="1"/>
  <c r="T72" i="7" s="1"/>
  <c r="V71" i="7"/>
  <c r="U71" i="7" a="1"/>
  <c r="U71" i="7" s="1"/>
  <c r="T71" i="7" a="1"/>
  <c r="T71" i="7" s="1"/>
  <c r="V70" i="7"/>
  <c r="U70" i="7" a="1"/>
  <c r="U70" i="7" s="1"/>
  <c r="T70" i="7" a="1"/>
  <c r="T70" i="7" s="1"/>
  <c r="V69" i="7"/>
  <c r="U69" i="7" a="1"/>
  <c r="U69" i="7" s="1"/>
  <c r="T69" i="7" a="1"/>
  <c r="T69" i="7" s="1"/>
  <c r="U68" i="7" a="1"/>
  <c r="U68" i="7" s="1"/>
  <c r="T68" i="7" a="1"/>
  <c r="T68" i="7" s="1"/>
  <c r="V67" i="7"/>
  <c r="U67" i="7" a="1"/>
  <c r="U67" i="7" s="1"/>
  <c r="T67" i="7" a="1"/>
  <c r="T67" i="7" s="1"/>
  <c r="V66" i="7"/>
  <c r="U66" i="7" a="1"/>
  <c r="U66" i="7" s="1"/>
  <c r="T66" i="7" a="1"/>
  <c r="T66" i="7" s="1"/>
  <c r="V65" i="7"/>
  <c r="U65" i="7" a="1"/>
  <c r="U65" i="7" s="1"/>
  <c r="T65" i="7" a="1"/>
  <c r="T65" i="7" s="1"/>
  <c r="V64" i="7"/>
  <c r="U64" i="7" a="1"/>
  <c r="U64" i="7" s="1"/>
  <c r="T64" i="7" a="1"/>
  <c r="T64" i="7" s="1"/>
  <c r="V63" i="7"/>
  <c r="U63" i="7" a="1"/>
  <c r="U63" i="7" s="1"/>
  <c r="T63" i="7" a="1"/>
  <c r="T63" i="7" s="1"/>
  <c r="V62" i="7"/>
  <c r="U62" i="7" a="1"/>
  <c r="U62" i="7" s="1"/>
  <c r="T62" i="7" a="1"/>
  <c r="T62" i="7" s="1"/>
  <c r="V61" i="7"/>
  <c r="U61" i="7" a="1"/>
  <c r="U61" i="7" s="1"/>
  <c r="T61" i="7" a="1"/>
  <c r="T61" i="7" s="1"/>
  <c r="V60" i="7"/>
  <c r="U60" i="7" a="1"/>
  <c r="U60" i="7" s="1"/>
  <c r="T60" i="7" a="1"/>
  <c r="T60" i="7" s="1"/>
  <c r="V59" i="7"/>
  <c r="U59" i="7" a="1"/>
  <c r="U59" i="7" s="1"/>
  <c r="T59" i="7" a="1"/>
  <c r="T59" i="7" s="1"/>
  <c r="V58" i="7"/>
  <c r="U58" i="7" a="1"/>
  <c r="U58" i="7" s="1"/>
  <c r="T58" i="7" a="1"/>
  <c r="T58" i="7" s="1"/>
  <c r="V57" i="7"/>
  <c r="U57" i="7" a="1"/>
  <c r="U57" i="7" s="1"/>
  <c r="T57" i="7" a="1"/>
  <c r="T57" i="7" s="1"/>
  <c r="V56" i="7"/>
  <c r="U56" i="7" a="1"/>
  <c r="U56" i="7" s="1"/>
  <c r="T56" i="7" a="1"/>
  <c r="T56" i="7" s="1"/>
  <c r="V55" i="7"/>
  <c r="U55" i="7" a="1"/>
  <c r="U55" i="7" s="1"/>
  <c r="T55" i="7" a="1"/>
  <c r="T55" i="7" s="1"/>
  <c r="V54" i="7"/>
  <c r="U54" i="7" a="1"/>
  <c r="U54" i="7" s="1"/>
  <c r="T54" i="7" a="1"/>
  <c r="T54" i="7" s="1"/>
  <c r="V53" i="7"/>
  <c r="U53" i="7" a="1"/>
  <c r="U53" i="7" s="1"/>
  <c r="T53" i="7" a="1"/>
  <c r="T53" i="7" s="1"/>
  <c r="V52" i="7"/>
  <c r="U52" i="7" a="1"/>
  <c r="U52" i="7" s="1"/>
  <c r="T52" i="7" a="1"/>
  <c r="T52" i="7" s="1"/>
  <c r="V51" i="7"/>
  <c r="U51" i="7" a="1"/>
  <c r="U51" i="7" s="1"/>
  <c r="T51" i="7" a="1"/>
  <c r="T51" i="7" s="1"/>
  <c r="V50" i="7"/>
  <c r="U50" i="7" a="1"/>
  <c r="U50" i="7" s="1"/>
  <c r="T50" i="7" a="1"/>
  <c r="T50" i="7" s="1"/>
  <c r="V49" i="7"/>
  <c r="U49" i="7" a="1"/>
  <c r="U49" i="7" s="1"/>
  <c r="T49" i="7" a="1"/>
  <c r="T49" i="7" s="1"/>
  <c r="V48" i="7"/>
  <c r="U48" i="7" a="1"/>
  <c r="U48" i="7" s="1"/>
  <c r="T48" i="7" a="1"/>
  <c r="T48" i="7" s="1"/>
  <c r="V47" i="7"/>
  <c r="U47" i="7" a="1"/>
  <c r="U47" i="7" s="1"/>
  <c r="T47" i="7" a="1"/>
  <c r="T47" i="7" s="1"/>
  <c r="V46" i="7"/>
  <c r="U46" i="7" a="1"/>
  <c r="U46" i="7" s="1"/>
  <c r="T46" i="7" a="1"/>
  <c r="T46" i="7" s="1"/>
  <c r="V45" i="7"/>
  <c r="U45" i="7" a="1"/>
  <c r="U45" i="7" s="1"/>
  <c r="T45" i="7" a="1"/>
  <c r="T45" i="7" s="1"/>
  <c r="V44" i="7"/>
  <c r="U44" i="7" a="1"/>
  <c r="U44" i="7" s="1"/>
  <c r="T44" i="7" a="1"/>
  <c r="T44" i="7" s="1"/>
  <c r="V43" i="7"/>
  <c r="U43" i="7" a="1"/>
  <c r="U43" i="7" s="1"/>
  <c r="T43" i="7" a="1"/>
  <c r="T43" i="7" s="1"/>
  <c r="V42" i="7"/>
  <c r="U42" i="7" a="1"/>
  <c r="U42" i="7" s="1"/>
  <c r="T42" i="7" a="1"/>
  <c r="T42" i="7" s="1"/>
  <c r="V41" i="7"/>
  <c r="U41" i="7" a="1"/>
  <c r="U41" i="7" s="1"/>
  <c r="T41" i="7" a="1"/>
  <c r="T41" i="7" s="1"/>
  <c r="V40" i="7"/>
  <c r="U40" i="7" a="1"/>
  <c r="U40" i="7" s="1"/>
  <c r="T40" i="7" a="1"/>
  <c r="T40" i="7" s="1"/>
  <c r="V39" i="7"/>
  <c r="U39" i="7" a="1"/>
  <c r="U39" i="7" s="1"/>
  <c r="T39" i="7" a="1"/>
  <c r="T39" i="7" s="1"/>
  <c r="V38" i="7"/>
  <c r="U38" i="7" a="1"/>
  <c r="U38" i="7" s="1"/>
  <c r="T38" i="7" a="1"/>
  <c r="T38" i="7" s="1"/>
  <c r="V37" i="7"/>
  <c r="U37" i="7" a="1"/>
  <c r="U37" i="7" s="1"/>
  <c r="T37" i="7" a="1"/>
  <c r="T37" i="7" s="1"/>
  <c r="V36" i="7"/>
  <c r="U36" i="7" a="1"/>
  <c r="U36" i="7" s="1"/>
  <c r="T36" i="7" a="1"/>
  <c r="T36" i="7" s="1"/>
  <c r="V35" i="7"/>
  <c r="U35" i="7" a="1"/>
  <c r="U35" i="7" s="1"/>
  <c r="T35" i="7" a="1"/>
  <c r="T35" i="7" s="1"/>
  <c r="V34" i="7"/>
  <c r="U34" i="7" a="1"/>
  <c r="U34" i="7" s="1"/>
  <c r="T34" i="7" a="1"/>
  <c r="T34" i="7" s="1"/>
  <c r="V33" i="7"/>
  <c r="U33" i="7" a="1"/>
  <c r="U33" i="7" s="1"/>
  <c r="T33" i="7" a="1"/>
  <c r="T33" i="7" s="1"/>
  <c r="V32" i="7"/>
  <c r="U32" i="7" a="1"/>
  <c r="U32" i="7" s="1"/>
  <c r="T32" i="7" a="1"/>
  <c r="T32" i="7" s="1"/>
  <c r="V31" i="7"/>
  <c r="U31" i="7" a="1"/>
  <c r="U31" i="7" s="1"/>
  <c r="T31" i="7" a="1"/>
  <c r="T31" i="7" s="1"/>
  <c r="V30" i="7"/>
  <c r="U30" i="7" a="1"/>
  <c r="U30" i="7" s="1"/>
  <c r="T30" i="7" a="1"/>
  <c r="T30" i="7" s="1"/>
  <c r="V29" i="7"/>
  <c r="U29" i="7" a="1"/>
  <c r="U29" i="7" s="1"/>
  <c r="T29" i="7" a="1"/>
  <c r="T29" i="7" s="1"/>
  <c r="V28" i="7"/>
  <c r="U28" i="7" a="1"/>
  <c r="U28" i="7" s="1"/>
  <c r="T28" i="7" a="1"/>
  <c r="T28" i="7" s="1"/>
  <c r="V27" i="7"/>
  <c r="U27" i="7" a="1"/>
  <c r="U27" i="7" s="1"/>
  <c r="T27" i="7" a="1"/>
  <c r="T27" i="7" s="1"/>
  <c r="V26" i="7"/>
  <c r="U26" i="7" a="1"/>
  <c r="U26" i="7" s="1"/>
  <c r="T26" i="7" a="1"/>
  <c r="T26" i="7" s="1"/>
  <c r="V25" i="7"/>
  <c r="U25" i="7" a="1"/>
  <c r="U25" i="7" s="1"/>
  <c r="T25" i="7" a="1"/>
  <c r="T25" i="7" s="1"/>
  <c r="V24" i="7"/>
  <c r="U24" i="7" a="1"/>
  <c r="U24" i="7" s="1"/>
  <c r="T24" i="7" a="1"/>
  <c r="T24" i="7" s="1"/>
  <c r="V23" i="7"/>
  <c r="U23" i="7" a="1"/>
  <c r="U23" i="7" s="1"/>
  <c r="T23" i="7" a="1"/>
  <c r="T23" i="7" s="1"/>
  <c r="V22" i="7"/>
  <c r="U22" i="7" a="1"/>
  <c r="U22" i="7" s="1"/>
  <c r="T22" i="7" a="1"/>
  <c r="T22" i="7" s="1"/>
  <c r="V21" i="7"/>
  <c r="U21" i="7" a="1"/>
  <c r="U21" i="7" s="1"/>
  <c r="T21" i="7" a="1"/>
  <c r="T21" i="7" s="1"/>
  <c r="V20" i="7"/>
  <c r="U20" i="7" a="1"/>
  <c r="U20" i="7" s="1"/>
  <c r="T20" i="7" a="1"/>
  <c r="T20" i="7" s="1"/>
  <c r="V19" i="7"/>
  <c r="U19" i="7" a="1"/>
  <c r="U19" i="7" s="1"/>
  <c r="T19" i="7" a="1"/>
  <c r="T19" i="7" s="1"/>
  <c r="V18" i="7"/>
  <c r="U18" i="7" a="1"/>
  <c r="U18" i="7" s="1"/>
  <c r="T18" i="7" a="1"/>
  <c r="T18" i="7" s="1"/>
  <c r="V17" i="7"/>
  <c r="U17" i="7" a="1"/>
  <c r="U17" i="7" s="1"/>
  <c r="T17" i="7" a="1"/>
  <c r="T17" i="7" s="1"/>
  <c r="V16" i="7"/>
  <c r="U16" i="7" a="1"/>
  <c r="U16" i="7" s="1"/>
  <c r="T16" i="7" a="1"/>
  <c r="T16" i="7" s="1"/>
  <c r="V15" i="7"/>
  <c r="U15" i="7" a="1"/>
  <c r="U15" i="7" s="1"/>
  <c r="T15" i="7" a="1"/>
  <c r="T15" i="7" s="1"/>
  <c r="V14" i="7"/>
  <c r="U14" i="7" a="1"/>
  <c r="U14" i="7" s="1"/>
  <c r="T14" i="7" a="1"/>
  <c r="T14" i="7" s="1"/>
  <c r="V13" i="7"/>
  <c r="U13" i="7" a="1"/>
  <c r="U13" i="7" s="1"/>
  <c r="T13" i="7" a="1"/>
  <c r="T13" i="7" s="1"/>
  <c r="V12" i="7"/>
  <c r="U12" i="7" a="1"/>
  <c r="U12" i="7" s="1"/>
  <c r="T12" i="7" a="1"/>
  <c r="T12" i="7" s="1"/>
  <c r="V11" i="7"/>
  <c r="U11" i="7" a="1"/>
  <c r="U11" i="7" s="1"/>
  <c r="T11" i="7" a="1"/>
  <c r="T11" i="7" s="1"/>
  <c r="V10" i="7"/>
  <c r="U10" i="7" a="1"/>
  <c r="U10" i="7" s="1"/>
  <c r="T10" i="7" a="1"/>
  <c r="T10" i="7" s="1"/>
  <c r="V9" i="7"/>
  <c r="U9" i="7" a="1"/>
  <c r="U9" i="7" s="1"/>
  <c r="T9" i="7" a="1"/>
  <c r="T9" i="7" s="1"/>
  <c r="V8" i="7"/>
  <c r="U8" i="7" a="1"/>
  <c r="U8" i="7" s="1"/>
  <c r="T8" i="7" a="1"/>
  <c r="T8" i="7" s="1"/>
  <c r="V7" i="7"/>
  <c r="U7" i="7" a="1"/>
  <c r="U7" i="7" s="1"/>
  <c r="T7" i="7" a="1"/>
  <c r="T7" i="7" s="1"/>
  <c r="V6" i="7"/>
  <c r="U6" i="7" a="1"/>
  <c r="U6" i="7" s="1"/>
  <c r="T6" i="7" a="1"/>
  <c r="T6" i="7" s="1"/>
  <c r="V4" i="7"/>
  <c r="U4" i="7" a="1"/>
  <c r="U4" i="7" s="1"/>
  <c r="T4" i="7" a="1"/>
  <c r="T4" i="7" s="1"/>
  <c r="V3" i="7"/>
  <c r="U3" i="7" a="1"/>
  <c r="U3" i="7" s="1"/>
  <c r="T3" i="7" a="1"/>
  <c r="T3" i="7" s="1"/>
  <c r="V2" i="7"/>
  <c r="U2" i="7" a="1"/>
  <c r="U2" i="7" s="1"/>
  <c r="T2" i="7" a="1"/>
  <c r="T2" i="7" s="1"/>
  <c r="Q270" i="6"/>
  <c r="P270" i="6"/>
  <c r="U270" i="6" s="1"/>
  <c r="Q269" i="6"/>
  <c r="P269" i="6"/>
  <c r="U269" i="6" s="1"/>
  <c r="Q268" i="6"/>
  <c r="P268" i="6"/>
  <c r="U268" i="6" s="1"/>
  <c r="Q267" i="6"/>
  <c r="P267" i="6"/>
  <c r="U267" i="6" s="1"/>
  <c r="Q266" i="6"/>
  <c r="P266" i="6"/>
  <c r="U266" i="6" s="1"/>
  <c r="Q265" i="6"/>
  <c r="P265" i="6"/>
  <c r="U265" i="6" s="1"/>
  <c r="Q264" i="6"/>
  <c r="P264" i="6"/>
  <c r="U264" i="6" s="1"/>
  <c r="Q263" i="6"/>
  <c r="P263" i="6"/>
  <c r="U263" i="6" s="1"/>
  <c r="S262" i="6"/>
  <c r="R262" i="6"/>
  <c r="Q262" i="6"/>
  <c r="P262" i="6"/>
  <c r="U262" i="6" s="1"/>
  <c r="Q261" i="6"/>
  <c r="P261" i="6"/>
  <c r="U261" i="6" s="1"/>
  <c r="R270" i="6" l="1"/>
  <c r="S270" i="6"/>
  <c r="T270" i="6"/>
  <c r="R269" i="6"/>
  <c r="S269" i="6"/>
  <c r="T269" i="6"/>
  <c r="R268" i="6"/>
  <c r="S268" i="6"/>
  <c r="T268" i="6"/>
  <c r="R267" i="6"/>
  <c r="S267" i="6"/>
  <c r="T267" i="6"/>
  <c r="R266" i="6"/>
  <c r="S266" i="6"/>
  <c r="T266" i="6"/>
  <c r="R265" i="6"/>
  <c r="S265" i="6"/>
  <c r="T265" i="6"/>
  <c r="R264" i="6"/>
  <c r="S264" i="6"/>
  <c r="T264" i="6"/>
  <c r="R263" i="6"/>
  <c r="S263" i="6"/>
  <c r="T263" i="6"/>
  <c r="T262" i="6"/>
  <c r="R261" i="6"/>
  <c r="T261" i="6"/>
  <c r="S261" i="6"/>
  <c r="B155" i="2"/>
  <c r="B160" i="2"/>
  <c r="B159" i="2"/>
  <c r="Q260" i="6"/>
  <c r="P260" i="6"/>
  <c r="U260" i="6" s="1"/>
  <c r="B158" i="2"/>
  <c r="B157" i="2"/>
  <c r="B156" i="2"/>
  <c r="Q259" i="6"/>
  <c r="P259" i="6"/>
  <c r="U259" i="6" s="1"/>
  <c r="R260" i="6" l="1"/>
  <c r="S260" i="6"/>
  <c r="T260" i="6"/>
  <c r="R259" i="6"/>
  <c r="S259" i="6"/>
  <c r="T259" i="6"/>
  <c r="B154" i="2"/>
  <c r="B153" i="2"/>
  <c r="B152" i="2"/>
  <c r="Q237" i="6" l="1"/>
  <c r="P237" i="6"/>
  <c r="Q144" i="6"/>
  <c r="P144" i="6"/>
  <c r="Q8" i="6"/>
  <c r="P8" i="6"/>
  <c r="Q139" i="6"/>
  <c r="P139" i="6"/>
  <c r="Q235" i="6"/>
  <c r="P235" i="6"/>
  <c r="Q248" i="6"/>
  <c r="P248" i="6"/>
  <c r="Q247" i="6"/>
  <c r="P247" i="6"/>
  <c r="Q225" i="6"/>
  <c r="P225" i="6"/>
  <c r="Q223" i="6"/>
  <c r="P223" i="6"/>
  <c r="Q214" i="6"/>
  <c r="P214" i="6"/>
  <c r="U248" i="6" s="1"/>
  <c r="Q212" i="6"/>
  <c r="P212" i="6"/>
  <c r="U247" i="6" s="1"/>
  <c r="Q125" i="6"/>
  <c r="P125" i="6"/>
  <c r="Q189" i="6"/>
  <c r="P189" i="6"/>
  <c r="Q245" i="6"/>
  <c r="P245" i="6"/>
  <c r="Q232" i="6"/>
  <c r="P232" i="6"/>
  <c r="Q183" i="6"/>
  <c r="P183" i="6"/>
  <c r="Q96" i="6"/>
  <c r="P96" i="6"/>
  <c r="Q182" i="6"/>
  <c r="P182" i="6"/>
  <c r="Q181" i="6"/>
  <c r="P181" i="6"/>
  <c r="Q179" i="6"/>
  <c r="P179" i="6"/>
  <c r="Q168" i="6"/>
  <c r="P168" i="6"/>
  <c r="U237" i="6" s="1"/>
  <c r="Q91" i="6"/>
  <c r="P91" i="6"/>
  <c r="Q229" i="6"/>
  <c r="P229" i="6"/>
  <c r="U235" i="6" s="1"/>
  <c r="Q161" i="6"/>
  <c r="P161" i="6"/>
  <c r="Q159" i="6"/>
  <c r="P159" i="6"/>
  <c r="Q89" i="6"/>
  <c r="P89" i="6"/>
  <c r="Q84" i="6"/>
  <c r="P84" i="6"/>
  <c r="Q64" i="6"/>
  <c r="P64" i="6"/>
  <c r="Q155" i="6"/>
  <c r="P155" i="6"/>
  <c r="U229" i="6" s="1"/>
  <c r="Q3" i="6"/>
  <c r="P3" i="6"/>
  <c r="Q238" i="6"/>
  <c r="P238" i="6"/>
  <c r="Q153" i="6"/>
  <c r="P153" i="6"/>
  <c r="Q228" i="6"/>
  <c r="P228" i="6"/>
  <c r="Q152" i="6"/>
  <c r="P152" i="6"/>
  <c r="U225" i="6" s="1"/>
  <c r="Q256" i="6"/>
  <c r="P256" i="6"/>
  <c r="Q254" i="6"/>
  <c r="P254" i="6"/>
  <c r="Q253" i="6"/>
  <c r="P253" i="6"/>
  <c r="Q258" i="6"/>
  <c r="P258" i="6"/>
  <c r="Q257" i="6"/>
  <c r="P257" i="6"/>
  <c r="Q255" i="6"/>
  <c r="P255" i="6"/>
  <c r="U255" i="6" s="1"/>
  <c r="Q252" i="6"/>
  <c r="P252" i="6"/>
  <c r="Q251" i="6"/>
  <c r="P251" i="6"/>
  <c r="Q250" i="6"/>
  <c r="P250" i="6"/>
  <c r="Q249" i="6"/>
  <c r="P249" i="6"/>
  <c r="Q246" i="6"/>
  <c r="P246" i="6"/>
  <c r="Q244" i="6"/>
  <c r="P244" i="6"/>
  <c r="Q243" i="6"/>
  <c r="P243" i="6"/>
  <c r="Q242" i="6"/>
  <c r="P242" i="6"/>
  <c r="Q241" i="6"/>
  <c r="P241" i="6"/>
  <c r="Q240" i="6"/>
  <c r="P240" i="6"/>
  <c r="Q239" i="6"/>
  <c r="P239" i="6"/>
  <c r="Q236" i="6"/>
  <c r="P236" i="6"/>
  <c r="Q234" i="6"/>
  <c r="P234" i="6"/>
  <c r="Q233" i="6"/>
  <c r="P233" i="6"/>
  <c r="Q231" i="6"/>
  <c r="P231" i="6"/>
  <c r="Q230" i="6"/>
  <c r="P230" i="6"/>
  <c r="Q227" i="6"/>
  <c r="P227" i="6"/>
  <c r="Q226" i="6"/>
  <c r="P226" i="6"/>
  <c r="Q224" i="6"/>
  <c r="P224" i="6"/>
  <c r="Q222" i="6"/>
  <c r="P222" i="6"/>
  <c r="Q221" i="6"/>
  <c r="P221" i="6"/>
  <c r="Q220" i="6"/>
  <c r="P220" i="6"/>
  <c r="Q219" i="6"/>
  <c r="P219" i="6"/>
  <c r="Q218" i="6"/>
  <c r="P218" i="6"/>
  <c r="Q217" i="6"/>
  <c r="P217" i="6"/>
  <c r="Q216" i="6"/>
  <c r="P216" i="6"/>
  <c r="Q215" i="6"/>
  <c r="P215" i="6"/>
  <c r="Q213" i="6"/>
  <c r="P213" i="6"/>
  <c r="Q211" i="6"/>
  <c r="P211" i="6"/>
  <c r="Q210" i="6"/>
  <c r="P210" i="6"/>
  <c r="Q209" i="6"/>
  <c r="P209" i="6"/>
  <c r="Q208" i="6"/>
  <c r="P208" i="6"/>
  <c r="Q207" i="6"/>
  <c r="P207" i="6"/>
  <c r="Q206" i="6"/>
  <c r="P206" i="6"/>
  <c r="Q205" i="6"/>
  <c r="P205" i="6"/>
  <c r="Q204" i="6"/>
  <c r="P204" i="6"/>
  <c r="Q203" i="6"/>
  <c r="P203" i="6"/>
  <c r="Q202" i="6"/>
  <c r="P202" i="6"/>
  <c r="Q201" i="6"/>
  <c r="P201" i="6"/>
  <c r="Q200" i="6"/>
  <c r="P200" i="6"/>
  <c r="Q199" i="6"/>
  <c r="P199" i="6"/>
  <c r="Q198" i="6"/>
  <c r="P198" i="6"/>
  <c r="Q197" i="6"/>
  <c r="P197" i="6"/>
  <c r="Q196" i="6"/>
  <c r="P196" i="6"/>
  <c r="Q195" i="6"/>
  <c r="P195" i="6"/>
  <c r="Q194" i="6"/>
  <c r="P194" i="6"/>
  <c r="Q193" i="6"/>
  <c r="P193" i="6"/>
  <c r="Q192" i="6"/>
  <c r="P192" i="6"/>
  <c r="Q191" i="6"/>
  <c r="P191" i="6"/>
  <c r="Q190" i="6"/>
  <c r="P190" i="6"/>
  <c r="Q188" i="6"/>
  <c r="P188" i="6"/>
  <c r="Q187" i="6"/>
  <c r="P187" i="6"/>
  <c r="Q186" i="6"/>
  <c r="P186" i="6"/>
  <c r="Q185" i="6"/>
  <c r="P185" i="6"/>
  <c r="Q184" i="6"/>
  <c r="P184" i="6"/>
  <c r="Q180" i="6"/>
  <c r="P180" i="6"/>
  <c r="Q178" i="6"/>
  <c r="P178" i="6"/>
  <c r="Q177" i="6"/>
  <c r="P177" i="6"/>
  <c r="Q176" i="6"/>
  <c r="P176" i="6"/>
  <c r="Q175" i="6"/>
  <c r="P175" i="6"/>
  <c r="Q174" i="6"/>
  <c r="P174" i="6"/>
  <c r="Q173" i="6"/>
  <c r="P173" i="6"/>
  <c r="Q172" i="6"/>
  <c r="P172" i="6"/>
  <c r="Q171" i="6"/>
  <c r="P171" i="6"/>
  <c r="Q170" i="6"/>
  <c r="P170" i="6"/>
  <c r="Q169" i="6"/>
  <c r="P169" i="6"/>
  <c r="Q167" i="6"/>
  <c r="P167" i="6"/>
  <c r="Q166" i="6"/>
  <c r="P166" i="6"/>
  <c r="Q165" i="6"/>
  <c r="P165" i="6"/>
  <c r="Q164" i="6"/>
  <c r="P164" i="6"/>
  <c r="Q163" i="6"/>
  <c r="P163" i="6"/>
  <c r="Q162" i="6"/>
  <c r="P162" i="6"/>
  <c r="Q160" i="6"/>
  <c r="P160" i="6"/>
  <c r="Q158" i="6"/>
  <c r="P158" i="6"/>
  <c r="Q157" i="6"/>
  <c r="P157" i="6"/>
  <c r="Q156" i="6"/>
  <c r="P156" i="6"/>
  <c r="Q154" i="6"/>
  <c r="P154" i="6"/>
  <c r="Q151" i="6"/>
  <c r="P151" i="6"/>
  <c r="Q150" i="6"/>
  <c r="P150" i="6"/>
  <c r="Q149" i="6"/>
  <c r="P149" i="6"/>
  <c r="Q148" i="6"/>
  <c r="P148" i="6"/>
  <c r="Q147" i="6"/>
  <c r="P147" i="6"/>
  <c r="Q146" i="6"/>
  <c r="P146" i="6"/>
  <c r="Q145" i="6"/>
  <c r="P145" i="6"/>
  <c r="Q143" i="6"/>
  <c r="P143" i="6"/>
  <c r="Q142" i="6"/>
  <c r="P142" i="6"/>
  <c r="Q141" i="6"/>
  <c r="P141" i="6"/>
  <c r="Q140" i="6"/>
  <c r="P140" i="6"/>
  <c r="Q138" i="6"/>
  <c r="P138" i="6"/>
  <c r="Q137" i="6"/>
  <c r="P137" i="6"/>
  <c r="Q136" i="6"/>
  <c r="P136" i="6"/>
  <c r="Q135" i="6"/>
  <c r="P135" i="6"/>
  <c r="Q134" i="6"/>
  <c r="P134" i="6"/>
  <c r="Q133" i="6"/>
  <c r="P133" i="6"/>
  <c r="Q132" i="6"/>
  <c r="P132" i="6"/>
  <c r="Q131" i="6"/>
  <c r="P131" i="6"/>
  <c r="Q130" i="6"/>
  <c r="P130" i="6"/>
  <c r="Q129" i="6"/>
  <c r="P129" i="6"/>
  <c r="Q128" i="6"/>
  <c r="P128" i="6"/>
  <c r="Q127" i="6"/>
  <c r="P127" i="6"/>
  <c r="Q126" i="6"/>
  <c r="P126" i="6"/>
  <c r="Q124" i="6"/>
  <c r="P124" i="6"/>
  <c r="Q123" i="6"/>
  <c r="P123" i="6"/>
  <c r="Q122" i="6"/>
  <c r="P122" i="6"/>
  <c r="Q121" i="6"/>
  <c r="P121" i="6"/>
  <c r="Q120" i="6"/>
  <c r="P120" i="6"/>
  <c r="Q119" i="6"/>
  <c r="P119" i="6"/>
  <c r="Q118" i="6"/>
  <c r="P118" i="6"/>
  <c r="Q117" i="6"/>
  <c r="P117" i="6"/>
  <c r="Q116" i="6"/>
  <c r="P116" i="6"/>
  <c r="Q115" i="6"/>
  <c r="P115" i="6"/>
  <c r="Q114" i="6"/>
  <c r="P114" i="6"/>
  <c r="Q113" i="6"/>
  <c r="P113" i="6"/>
  <c r="Q112" i="6"/>
  <c r="P112" i="6"/>
  <c r="Q111" i="6"/>
  <c r="P111" i="6"/>
  <c r="Q110" i="6"/>
  <c r="P110" i="6"/>
  <c r="Q109" i="6"/>
  <c r="P109" i="6"/>
  <c r="Q108" i="6"/>
  <c r="P108" i="6"/>
  <c r="Q107" i="6"/>
  <c r="P107" i="6"/>
  <c r="Q106" i="6"/>
  <c r="P106" i="6"/>
  <c r="Q105" i="6"/>
  <c r="P105" i="6"/>
  <c r="Q104" i="6"/>
  <c r="P104" i="6"/>
  <c r="Q103" i="6"/>
  <c r="P103" i="6"/>
  <c r="Q102" i="6"/>
  <c r="P102" i="6"/>
  <c r="Q101" i="6"/>
  <c r="P101" i="6"/>
  <c r="Q100" i="6"/>
  <c r="P100" i="6"/>
  <c r="Q99" i="6"/>
  <c r="P99" i="6"/>
  <c r="Q98" i="6"/>
  <c r="P98" i="6"/>
  <c r="Q97" i="6"/>
  <c r="P97" i="6"/>
  <c r="Q95" i="6"/>
  <c r="P95" i="6"/>
  <c r="Q94" i="6"/>
  <c r="P94" i="6"/>
  <c r="Q93" i="6"/>
  <c r="P93" i="6"/>
  <c r="Q92" i="6"/>
  <c r="P92" i="6"/>
  <c r="Q90" i="6"/>
  <c r="P90" i="6"/>
  <c r="Q88" i="6"/>
  <c r="P88" i="6"/>
  <c r="Q87" i="6"/>
  <c r="P87" i="6"/>
  <c r="Q86" i="6"/>
  <c r="P86" i="6"/>
  <c r="Q85" i="6"/>
  <c r="P85" i="6"/>
  <c r="Q83" i="6"/>
  <c r="P83" i="6"/>
  <c r="Q82" i="6"/>
  <c r="P82" i="6"/>
  <c r="Q81" i="6"/>
  <c r="P81" i="6"/>
  <c r="Q80" i="6"/>
  <c r="P80" i="6"/>
  <c r="Q79" i="6"/>
  <c r="P79" i="6"/>
  <c r="Q78" i="6"/>
  <c r="P78" i="6"/>
  <c r="Q77" i="6"/>
  <c r="P77" i="6"/>
  <c r="Q76" i="6"/>
  <c r="P76" i="6"/>
  <c r="Q75" i="6"/>
  <c r="P75" i="6"/>
  <c r="Q74" i="6"/>
  <c r="P74" i="6"/>
  <c r="Q73" i="6"/>
  <c r="P73" i="6"/>
  <c r="Q72" i="6"/>
  <c r="P72" i="6"/>
  <c r="Q71" i="6"/>
  <c r="P71" i="6"/>
  <c r="Q70" i="6"/>
  <c r="P70" i="6"/>
  <c r="Q69" i="6"/>
  <c r="P69" i="6"/>
  <c r="Q68" i="6"/>
  <c r="P68" i="6"/>
  <c r="Q67" i="6"/>
  <c r="P67" i="6"/>
  <c r="Q66" i="6"/>
  <c r="P66" i="6"/>
  <c r="Q65" i="6"/>
  <c r="P65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7" i="6"/>
  <c r="P7" i="6"/>
  <c r="Q6" i="6"/>
  <c r="Q5" i="6"/>
  <c r="Q4" i="6"/>
  <c r="P6" i="6"/>
  <c r="P5" i="6"/>
  <c r="P4" i="6"/>
  <c r="U222" i="6" l="1"/>
  <c r="U226" i="6"/>
  <c r="U233" i="6"/>
  <c r="U245" i="6"/>
  <c r="U249" i="6"/>
  <c r="U251" i="6"/>
  <c r="U231" i="6"/>
  <c r="U239" i="6"/>
  <c r="U253" i="6"/>
  <c r="U257" i="6"/>
  <c r="U224" i="6"/>
  <c r="U241" i="6"/>
  <c r="U243" i="6"/>
  <c r="U221" i="6"/>
  <c r="U223" i="6"/>
  <c r="U227" i="6"/>
  <c r="U228" i="6"/>
  <c r="U230" i="6"/>
  <c r="U232" i="6"/>
  <c r="U234" i="6"/>
  <c r="U236" i="6"/>
  <c r="U238" i="6"/>
  <c r="U240" i="6"/>
  <c r="U242" i="6"/>
  <c r="U244" i="6"/>
  <c r="U246" i="6"/>
  <c r="U250" i="6"/>
  <c r="U252" i="6"/>
  <c r="U254" i="6"/>
  <c r="U256" i="6"/>
  <c r="U258" i="6"/>
  <c r="R228" i="6"/>
  <c r="R236" i="6"/>
  <c r="R221" i="6"/>
  <c r="R223" i="6"/>
  <c r="R238" i="6"/>
  <c r="R244" i="6"/>
  <c r="R252" i="6"/>
  <c r="R246" i="6"/>
  <c r="R254" i="6"/>
  <c r="R240" i="6"/>
  <c r="R248" i="6"/>
  <c r="R256" i="6"/>
  <c r="R242" i="6"/>
  <c r="R250" i="6"/>
  <c r="R258" i="6"/>
  <c r="R230" i="6"/>
  <c r="R232" i="6"/>
  <c r="R227" i="6"/>
  <c r="R234" i="6"/>
  <c r="R225" i="6"/>
  <c r="R231" i="6"/>
  <c r="R233" i="6"/>
  <c r="R251" i="6"/>
  <c r="R253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R222" i="6"/>
  <c r="R224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R226" i="6"/>
  <c r="R229" i="6"/>
  <c r="R235" i="6"/>
  <c r="R237" i="6"/>
  <c r="R239" i="6"/>
  <c r="R241" i="6"/>
  <c r="R243" i="6"/>
  <c r="R245" i="6"/>
  <c r="R247" i="6"/>
  <c r="R249" i="6"/>
  <c r="R255" i="6"/>
  <c r="R257" i="6"/>
  <c r="B151" i="2" l="1"/>
  <c r="U220" i="6"/>
  <c r="B150" i="2"/>
  <c r="B149" i="2"/>
  <c r="B148" i="2"/>
  <c r="B146" i="2"/>
  <c r="B141" i="2"/>
  <c r="B28" i="2"/>
  <c r="R220" i="6" l="1"/>
  <c r="S220" i="6"/>
  <c r="T220" i="6"/>
  <c r="B72" i="2" l="1"/>
  <c r="B20" i="2"/>
  <c r="U182" i="6" l="1"/>
  <c r="T182" i="6"/>
  <c r="S182" i="6"/>
  <c r="R182" i="6"/>
  <c r="U181" i="6"/>
  <c r="T181" i="6"/>
  <c r="S181" i="6"/>
  <c r="R181" i="6"/>
  <c r="U180" i="6"/>
  <c r="T180" i="6"/>
  <c r="S180" i="6"/>
  <c r="R180" i="6"/>
  <c r="U179" i="6"/>
  <c r="T179" i="6"/>
  <c r="S179" i="6"/>
  <c r="R179" i="6"/>
  <c r="U178" i="6"/>
  <c r="T178" i="6"/>
  <c r="S178" i="6"/>
  <c r="R178" i="6"/>
  <c r="U177" i="6"/>
  <c r="T177" i="6"/>
  <c r="S177" i="6"/>
  <c r="R177" i="6"/>
  <c r="U176" i="6"/>
  <c r="T176" i="6"/>
  <c r="S176" i="6"/>
  <c r="R176" i="6"/>
  <c r="U175" i="6"/>
  <c r="T175" i="6"/>
  <c r="S175" i="6"/>
  <c r="R175" i="6"/>
  <c r="U174" i="6"/>
  <c r="T174" i="6"/>
  <c r="S174" i="6"/>
  <c r="R174" i="6"/>
  <c r="U173" i="6"/>
  <c r="T173" i="6"/>
  <c r="S173" i="6"/>
  <c r="R173" i="6"/>
  <c r="B13" i="2" l="1"/>
  <c r="B10" i="2" l="1"/>
  <c r="B106" i="2" l="1"/>
  <c r="B16" i="2"/>
  <c r="B91" i="2"/>
  <c r="S27" i="6" l="1"/>
  <c r="R27" i="6"/>
  <c r="U27" i="6"/>
  <c r="T27" i="6"/>
  <c r="S4" i="6"/>
  <c r="R4" i="6"/>
  <c r="U4" i="6"/>
  <c r="T4" i="6"/>
  <c r="R108" i="6"/>
  <c r="U108" i="6"/>
  <c r="T108" i="6"/>
  <c r="T109" i="6"/>
  <c r="U109" i="6" l="1"/>
  <c r="R109" i="6"/>
  <c r="S108" i="6"/>
  <c r="S109" i="6"/>
  <c r="S16" i="6"/>
  <c r="R16" i="6"/>
  <c r="U16" i="6"/>
  <c r="T16" i="6"/>
  <c r="B136" i="2"/>
  <c r="B107" i="2" l="1"/>
  <c r="B85" i="2"/>
  <c r="U213" i="6" l="1"/>
  <c r="T213" i="6"/>
  <c r="S213" i="6"/>
  <c r="R213" i="6"/>
  <c r="B116" i="2" l="1"/>
  <c r="B137" i="2"/>
  <c r="B94" i="2"/>
  <c r="B35" i="2"/>
  <c r="B98" i="2"/>
  <c r="B32" i="2"/>
  <c r="B66" i="2"/>
  <c r="B108" i="2"/>
  <c r="B65" i="2"/>
  <c r="B105" i="2"/>
  <c r="B78" i="2"/>
  <c r="B77" i="2"/>
  <c r="B25" i="2"/>
  <c r="B24" i="2"/>
  <c r="U155" i="6" l="1"/>
  <c r="T155" i="6"/>
  <c r="S155" i="6"/>
  <c r="R155" i="6"/>
  <c r="U153" i="6"/>
  <c r="T153" i="6"/>
  <c r="S153" i="6"/>
  <c r="R153" i="6"/>
  <c r="B135" i="2"/>
  <c r="B138" i="2"/>
  <c r="T72" i="6" l="1"/>
  <c r="S72" i="6"/>
  <c r="R72" i="6"/>
  <c r="U72" i="6"/>
  <c r="S9" i="6"/>
  <c r="R9" i="6"/>
  <c r="U9" i="6"/>
  <c r="T9" i="6"/>
  <c r="S28" i="6"/>
  <c r="R28" i="6"/>
  <c r="U28" i="6"/>
  <c r="T28" i="6"/>
  <c r="B134" i="2"/>
  <c r="B126" i="2"/>
  <c r="B124" i="2"/>
  <c r="B120" i="2"/>
  <c r="B118" i="2"/>
  <c r="B117" i="2"/>
  <c r="B113" i="2"/>
  <c r="B104" i="2"/>
  <c r="S192" i="6" l="1"/>
  <c r="R192" i="6"/>
  <c r="U192" i="6"/>
  <c r="T192" i="6"/>
  <c r="R101" i="6"/>
  <c r="U101" i="6"/>
  <c r="T101" i="6"/>
  <c r="S101" i="6"/>
  <c r="T100" i="6"/>
  <c r="S100" i="6"/>
  <c r="R100" i="6"/>
  <c r="U100" i="6"/>
  <c r="T98" i="6"/>
  <c r="S98" i="6"/>
  <c r="R98" i="6"/>
  <c r="U98" i="6"/>
  <c r="S46" i="6"/>
  <c r="R46" i="6"/>
  <c r="U46" i="6"/>
  <c r="T46" i="6"/>
  <c r="U116" i="6"/>
  <c r="T116" i="6"/>
  <c r="S116" i="6"/>
  <c r="R116" i="6"/>
  <c r="T90" i="6"/>
  <c r="S90" i="6"/>
  <c r="R90" i="6"/>
  <c r="U90" i="6"/>
  <c r="U184" i="6"/>
  <c r="T184" i="6"/>
  <c r="S184" i="6"/>
  <c r="R184" i="6"/>
  <c r="U187" i="6"/>
  <c r="T187" i="6"/>
  <c r="S187" i="6"/>
  <c r="R187" i="6"/>
  <c r="S6" i="6"/>
  <c r="R6" i="6"/>
  <c r="U6" i="6"/>
  <c r="T6" i="6"/>
  <c r="S25" i="6"/>
  <c r="R25" i="6"/>
  <c r="U25" i="6"/>
  <c r="T25" i="6"/>
  <c r="T82" i="6"/>
  <c r="S82" i="6"/>
  <c r="R82" i="6"/>
  <c r="U82" i="6"/>
  <c r="U156" i="6"/>
  <c r="T156" i="6"/>
  <c r="S156" i="6"/>
  <c r="R156" i="6"/>
  <c r="T47" i="6"/>
  <c r="S47" i="6"/>
  <c r="R47" i="6"/>
  <c r="U47" i="6"/>
  <c r="T84" i="6"/>
  <c r="S84" i="6"/>
  <c r="R84" i="6"/>
  <c r="U84" i="6"/>
  <c r="T92" i="6"/>
  <c r="S92" i="6"/>
  <c r="R92" i="6"/>
  <c r="U92" i="6"/>
  <c r="S14" i="6"/>
  <c r="R14" i="6"/>
  <c r="U14" i="6"/>
  <c r="T14" i="6"/>
  <c r="T97" i="6"/>
  <c r="S97" i="6"/>
  <c r="R97" i="6"/>
  <c r="U97" i="6"/>
  <c r="S8" i="6"/>
  <c r="R8" i="6"/>
  <c r="U8" i="6"/>
  <c r="T8" i="6"/>
  <c r="U185" i="6"/>
  <c r="T185" i="6"/>
  <c r="S185" i="6"/>
  <c r="R185" i="6"/>
  <c r="U186" i="6"/>
  <c r="T186" i="6"/>
  <c r="S186" i="6"/>
  <c r="R186" i="6"/>
  <c r="S3" i="6"/>
  <c r="R3" i="6"/>
  <c r="U3" i="6"/>
  <c r="T3" i="6"/>
  <c r="T52" i="6"/>
  <c r="S52" i="6"/>
  <c r="R52" i="6"/>
  <c r="U52" i="6"/>
  <c r="S15" i="6"/>
  <c r="R15" i="6"/>
  <c r="U15" i="6"/>
  <c r="T15" i="6"/>
  <c r="B103" i="2"/>
  <c r="B102" i="2"/>
  <c r="U128" i="6"/>
  <c r="B101" i="2"/>
  <c r="B99" i="2"/>
  <c r="B96" i="2"/>
  <c r="B95" i="2"/>
  <c r="B93" i="2"/>
  <c r="B92" i="2"/>
  <c r="B90" i="2"/>
  <c r="B89" i="2"/>
  <c r="B87" i="2"/>
  <c r="B83" i="2"/>
  <c r="B81" i="2"/>
  <c r="B80" i="2"/>
  <c r="B79" i="2"/>
  <c r="R128" i="6" l="1"/>
  <c r="S128" i="6"/>
  <c r="T165" i="6"/>
  <c r="S165" i="6"/>
  <c r="R165" i="6"/>
  <c r="U165" i="6"/>
  <c r="T73" i="6"/>
  <c r="R73" i="6"/>
  <c r="S73" i="6"/>
  <c r="U73" i="6"/>
  <c r="T128" i="6"/>
  <c r="S113" i="6"/>
  <c r="R113" i="6"/>
  <c r="U113" i="6"/>
  <c r="T113" i="6"/>
  <c r="U214" i="6"/>
  <c r="T214" i="6"/>
  <c r="S214" i="6"/>
  <c r="R214" i="6"/>
  <c r="S205" i="6"/>
  <c r="U205" i="6"/>
  <c r="R205" i="6"/>
  <c r="T205" i="6"/>
  <c r="U117" i="6"/>
  <c r="T117" i="6"/>
  <c r="S117" i="6"/>
  <c r="R117" i="6"/>
  <c r="U183" i="6"/>
  <c r="T183" i="6"/>
  <c r="S183" i="6"/>
  <c r="R183" i="6"/>
  <c r="U157" i="6"/>
  <c r="T157" i="6"/>
  <c r="S157" i="6"/>
  <c r="R157" i="6"/>
  <c r="S11" i="6"/>
  <c r="R11" i="6"/>
  <c r="U11" i="6"/>
  <c r="T11" i="6"/>
  <c r="S7" i="6"/>
  <c r="R7" i="6"/>
  <c r="U7" i="6"/>
  <c r="T7" i="6"/>
  <c r="T105" i="6"/>
  <c r="S105" i="6"/>
  <c r="R105" i="6"/>
  <c r="U105" i="6"/>
  <c r="S21" i="6"/>
  <c r="R21" i="6"/>
  <c r="U21" i="6"/>
  <c r="T21" i="6"/>
  <c r="S34" i="6"/>
  <c r="R34" i="6"/>
  <c r="U34" i="6"/>
  <c r="T34" i="6"/>
  <c r="B76" i="2"/>
  <c r="B75" i="2"/>
  <c r="S65" i="6"/>
  <c r="B71" i="2"/>
  <c r="B70" i="2"/>
  <c r="B69" i="2"/>
  <c r="T197" i="6"/>
  <c r="U197" i="6" l="1"/>
  <c r="T65" i="6"/>
  <c r="U151" i="6"/>
  <c r="T151" i="6"/>
  <c r="S151" i="6"/>
  <c r="R151" i="6"/>
  <c r="R197" i="6"/>
  <c r="U65" i="6"/>
  <c r="R65" i="6"/>
  <c r="R74" i="6"/>
  <c r="U74" i="6"/>
  <c r="T74" i="6"/>
  <c r="S74" i="6"/>
  <c r="R75" i="6"/>
  <c r="U75" i="6"/>
  <c r="T75" i="6"/>
  <c r="S75" i="6"/>
  <c r="S197" i="6"/>
  <c r="T166" i="6"/>
  <c r="S166" i="6"/>
  <c r="R166" i="6"/>
  <c r="U166" i="6"/>
  <c r="U158" i="6"/>
  <c r="T158" i="6"/>
  <c r="S158" i="6"/>
  <c r="R158" i="6"/>
  <c r="S23" i="6"/>
  <c r="R23" i="6"/>
  <c r="U23" i="6"/>
  <c r="T23" i="6"/>
  <c r="U189" i="6"/>
  <c r="T189" i="6"/>
  <c r="S189" i="6"/>
  <c r="R189" i="6"/>
  <c r="U143" i="6"/>
  <c r="T143" i="6"/>
  <c r="S143" i="6"/>
  <c r="R143" i="6"/>
  <c r="T57" i="6"/>
  <c r="S57" i="6"/>
  <c r="R57" i="6"/>
  <c r="U57" i="6"/>
  <c r="U193" i="6"/>
  <c r="T193" i="6"/>
  <c r="S193" i="6"/>
  <c r="R193" i="6"/>
  <c r="T102" i="6"/>
  <c r="S102" i="6"/>
  <c r="R102" i="6"/>
  <c r="U102" i="6"/>
  <c r="S19" i="6"/>
  <c r="R19" i="6"/>
  <c r="U19" i="6"/>
  <c r="T19" i="6"/>
  <c r="B59" i="2"/>
  <c r="B52" i="2"/>
  <c r="B51" i="2"/>
  <c r="B49" i="2"/>
  <c r="B48" i="2"/>
  <c r="B47" i="2"/>
  <c r="B45" i="2"/>
  <c r="B44" i="2"/>
  <c r="B40" i="2"/>
  <c r="B39" i="2"/>
  <c r="B38" i="2"/>
  <c r="B37" i="2"/>
  <c r="B115" i="2"/>
  <c r="U147" i="6" l="1"/>
  <c r="T147" i="6"/>
  <c r="S147" i="6"/>
  <c r="R147" i="6"/>
  <c r="T103" i="6"/>
  <c r="S103" i="6"/>
  <c r="R103" i="6"/>
  <c r="U103" i="6"/>
  <c r="U130" i="6"/>
  <c r="T130" i="6"/>
  <c r="S130" i="6"/>
  <c r="R130" i="6"/>
  <c r="T104" i="6"/>
  <c r="S104" i="6"/>
  <c r="R104" i="6"/>
  <c r="U104" i="6"/>
  <c r="T55" i="6"/>
  <c r="S55" i="6"/>
  <c r="R55" i="6"/>
  <c r="U55" i="6"/>
  <c r="T168" i="6"/>
  <c r="S168" i="6"/>
  <c r="R168" i="6"/>
  <c r="U168" i="6"/>
  <c r="T93" i="6"/>
  <c r="S93" i="6"/>
  <c r="R93" i="6"/>
  <c r="U93" i="6"/>
  <c r="U219" i="6"/>
  <c r="R219" i="6"/>
  <c r="S219" i="6"/>
  <c r="T219" i="6"/>
  <c r="T96" i="6"/>
  <c r="S96" i="6"/>
  <c r="R96" i="6"/>
  <c r="U96" i="6"/>
  <c r="S20" i="6"/>
  <c r="R20" i="6"/>
  <c r="U20" i="6"/>
  <c r="T20" i="6"/>
  <c r="S13" i="6"/>
  <c r="R13" i="6"/>
  <c r="U13" i="6"/>
  <c r="T13" i="6"/>
  <c r="S26" i="6"/>
  <c r="R26" i="6"/>
  <c r="U26" i="6"/>
  <c r="T26" i="6"/>
  <c r="S10" i="6"/>
  <c r="R10" i="6"/>
  <c r="U10" i="6"/>
  <c r="T10" i="6"/>
  <c r="U121" i="6"/>
  <c r="T121" i="6"/>
  <c r="S121" i="6"/>
  <c r="R121" i="6"/>
  <c r="T85" i="6"/>
  <c r="S85" i="6"/>
  <c r="R85" i="6"/>
  <c r="U85" i="6"/>
  <c r="T95" i="6"/>
  <c r="S95" i="6"/>
  <c r="R95" i="6"/>
  <c r="U95" i="6"/>
  <c r="S22" i="6"/>
  <c r="R22" i="6"/>
  <c r="U22" i="6"/>
  <c r="T22" i="6"/>
  <c r="T77" i="6"/>
  <c r="S77" i="6"/>
  <c r="R77" i="6"/>
  <c r="U77" i="6"/>
  <c r="T49" i="6"/>
  <c r="S49" i="6"/>
  <c r="R49" i="6"/>
  <c r="U49" i="6"/>
  <c r="S18" i="6"/>
  <c r="R18" i="6"/>
  <c r="U18" i="6"/>
  <c r="T18" i="6"/>
  <c r="U160" i="6"/>
  <c r="T160" i="6"/>
  <c r="S160" i="6"/>
  <c r="R160" i="6"/>
  <c r="U122" i="6"/>
  <c r="T122" i="6"/>
  <c r="S122" i="6"/>
  <c r="R122" i="6"/>
  <c r="T87" i="6"/>
  <c r="S87" i="6"/>
  <c r="R87" i="6"/>
  <c r="U87" i="6"/>
  <c r="B30" i="2"/>
  <c r="B84" i="2"/>
  <c r="B61" i="2"/>
  <c r="B19" i="2"/>
  <c r="B68" i="2"/>
  <c r="B122" i="2"/>
  <c r="B18" i="2"/>
  <c r="B6" i="2"/>
  <c r="B3" i="2"/>
  <c r="B50" i="2"/>
  <c r="B31" i="2"/>
  <c r="B100" i="2"/>
  <c r="B12" i="2"/>
  <c r="B42" i="2"/>
  <c r="T139" i="6"/>
  <c r="B119" i="2"/>
  <c r="B36" i="2"/>
  <c r="B112" i="2"/>
  <c r="R139" i="6" l="1"/>
  <c r="U139" i="6"/>
  <c r="R67" i="6"/>
  <c r="U67" i="6"/>
  <c r="T67" i="6"/>
  <c r="S67" i="6"/>
  <c r="R79" i="6"/>
  <c r="U79" i="6"/>
  <c r="T79" i="6"/>
  <c r="S79" i="6"/>
  <c r="S134" i="6"/>
  <c r="R134" i="6"/>
  <c r="U134" i="6"/>
  <c r="T134" i="6"/>
  <c r="S39" i="6"/>
  <c r="R39" i="6"/>
  <c r="U39" i="6"/>
  <c r="T39" i="6"/>
  <c r="S33" i="6"/>
  <c r="R33" i="6"/>
  <c r="U33" i="6"/>
  <c r="T33" i="6"/>
  <c r="T169" i="6"/>
  <c r="S169" i="6"/>
  <c r="R169" i="6"/>
  <c r="U169" i="6"/>
  <c r="T114" i="6"/>
  <c r="S114" i="6"/>
  <c r="R114" i="6"/>
  <c r="U114" i="6"/>
  <c r="R69" i="6"/>
  <c r="T69" i="6"/>
  <c r="U69" i="6"/>
  <c r="S69" i="6"/>
  <c r="T172" i="6"/>
  <c r="S172" i="6"/>
  <c r="R172" i="6"/>
  <c r="U172" i="6"/>
  <c r="T170" i="6"/>
  <c r="S170" i="6"/>
  <c r="R170" i="6"/>
  <c r="U170" i="6"/>
  <c r="S154" i="6"/>
  <c r="R154" i="6"/>
  <c r="U154" i="6"/>
  <c r="T154" i="6"/>
  <c r="S135" i="6"/>
  <c r="R135" i="6"/>
  <c r="U135" i="6"/>
  <c r="T135" i="6"/>
  <c r="T94" i="6"/>
  <c r="S94" i="6"/>
  <c r="R94" i="6"/>
  <c r="U94" i="6"/>
  <c r="T89" i="6"/>
  <c r="S89" i="6"/>
  <c r="R89" i="6"/>
  <c r="U89" i="6"/>
  <c r="S139" i="6"/>
  <c r="S133" i="6"/>
  <c r="R133" i="6"/>
  <c r="U133" i="6"/>
  <c r="T133" i="6"/>
  <c r="U115" i="6"/>
  <c r="T115" i="6"/>
  <c r="S115" i="6"/>
  <c r="R115" i="6"/>
  <c r="U152" i="6"/>
  <c r="T152" i="6"/>
  <c r="S152" i="6"/>
  <c r="R152" i="6"/>
  <c r="T171" i="6"/>
  <c r="S171" i="6"/>
  <c r="R171" i="6"/>
  <c r="U171" i="6"/>
  <c r="T107" i="6"/>
  <c r="S107" i="6"/>
  <c r="R107" i="6"/>
  <c r="U107" i="6"/>
  <c r="T70" i="6"/>
  <c r="S70" i="6"/>
  <c r="R70" i="6"/>
  <c r="U70" i="6"/>
  <c r="T86" i="6"/>
  <c r="S86" i="6"/>
  <c r="R86" i="6"/>
  <c r="U86" i="6"/>
  <c r="T81" i="6"/>
  <c r="S81" i="6"/>
  <c r="R81" i="6"/>
  <c r="U81" i="6"/>
  <c r="S31" i="6"/>
  <c r="R31" i="6"/>
  <c r="U31" i="6"/>
  <c r="T31" i="6"/>
  <c r="U146" i="6"/>
  <c r="T146" i="6"/>
  <c r="S146" i="6"/>
  <c r="R146" i="6"/>
  <c r="U138" i="6"/>
  <c r="T138" i="6"/>
  <c r="S138" i="6"/>
  <c r="R138" i="6"/>
  <c r="U125" i="6"/>
  <c r="T125" i="6"/>
  <c r="S125" i="6"/>
  <c r="R125" i="6"/>
  <c r="U194" i="6"/>
  <c r="T194" i="6"/>
  <c r="S194" i="6"/>
  <c r="R194" i="6"/>
  <c r="U144" i="6"/>
  <c r="S17" i="6"/>
  <c r="R17" i="6"/>
  <c r="U17" i="6"/>
  <c r="T17" i="6"/>
  <c r="U163" i="6"/>
  <c r="T163" i="6"/>
  <c r="S163" i="6"/>
  <c r="R163" i="6"/>
  <c r="S24" i="6"/>
  <c r="R24" i="6"/>
  <c r="U24" i="6"/>
  <c r="T24" i="6"/>
  <c r="T61" i="6"/>
  <c r="S61" i="6"/>
  <c r="R61" i="6"/>
  <c r="U61" i="6"/>
  <c r="T59" i="6"/>
  <c r="S59" i="6"/>
  <c r="R59" i="6"/>
  <c r="U59" i="6"/>
  <c r="T71" i="6"/>
  <c r="S71" i="6"/>
  <c r="R71" i="6"/>
  <c r="U71" i="6"/>
  <c r="U126" i="6"/>
  <c r="T126" i="6"/>
  <c r="S126" i="6"/>
  <c r="R126" i="6"/>
  <c r="T78" i="6"/>
  <c r="S78" i="6"/>
  <c r="R78" i="6"/>
  <c r="U78" i="6"/>
  <c r="T53" i="6"/>
  <c r="S53" i="6"/>
  <c r="R53" i="6"/>
  <c r="U53" i="6"/>
  <c r="S37" i="6"/>
  <c r="R37" i="6"/>
  <c r="U37" i="6"/>
  <c r="T37" i="6"/>
  <c r="S32" i="6"/>
  <c r="R32" i="6"/>
  <c r="U32" i="6"/>
  <c r="T32" i="6"/>
  <c r="U161" i="6"/>
  <c r="T161" i="6"/>
  <c r="S161" i="6"/>
  <c r="R161" i="6"/>
  <c r="S5" i="6"/>
  <c r="R5" i="6"/>
  <c r="U5" i="6"/>
  <c r="T5" i="6"/>
  <c r="T106" i="6"/>
  <c r="S106" i="6"/>
  <c r="R106" i="6"/>
  <c r="U106" i="6"/>
  <c r="U188" i="6"/>
  <c r="T188" i="6"/>
  <c r="S188" i="6"/>
  <c r="R188" i="6"/>
  <c r="T63" i="6"/>
  <c r="S63" i="6"/>
  <c r="R63" i="6"/>
  <c r="U63" i="6"/>
  <c r="U127" i="6"/>
  <c r="T127" i="6"/>
  <c r="S127" i="6"/>
  <c r="R127" i="6"/>
  <c r="U131" i="6"/>
  <c r="U164" i="6"/>
  <c r="T164" i="6"/>
  <c r="S164" i="6"/>
  <c r="R164" i="6"/>
  <c r="U162" i="6"/>
  <c r="T162" i="6"/>
  <c r="S162" i="6"/>
  <c r="R162" i="6"/>
  <c r="S12" i="6"/>
  <c r="R12" i="6"/>
  <c r="U12" i="6"/>
  <c r="T12" i="6"/>
  <c r="B114" i="2"/>
  <c r="B132" i="2"/>
  <c r="B67" i="2"/>
  <c r="B15" i="2"/>
  <c r="B22" i="2"/>
  <c r="B125" i="2"/>
  <c r="R131" i="6"/>
  <c r="U62" i="6"/>
  <c r="B88" i="2"/>
  <c r="B123" i="2"/>
  <c r="B97" i="2"/>
  <c r="B129" i="2"/>
  <c r="B82" i="2"/>
  <c r="B43" i="2"/>
  <c r="B2" i="2"/>
  <c r="B110" i="2"/>
  <c r="B111" i="2"/>
  <c r="B121" i="2"/>
  <c r="B27" i="2"/>
  <c r="B11" i="2"/>
  <c r="B63" i="2"/>
  <c r="B56" i="2"/>
  <c r="B53" i="2"/>
  <c r="B5" i="2"/>
  <c r="B57" i="2"/>
  <c r="B58" i="2"/>
  <c r="B133" i="2"/>
  <c r="B55" i="2"/>
  <c r="B34" i="2"/>
  <c r="B7" i="2"/>
  <c r="B54" i="2"/>
  <c r="B26" i="2"/>
  <c r="B60" i="2"/>
  <c r="B86" i="2"/>
  <c r="R144" i="6"/>
  <c r="S131" i="6" l="1"/>
  <c r="S144" i="6"/>
  <c r="R62" i="6"/>
  <c r="T131" i="6"/>
  <c r="T144" i="6"/>
  <c r="S62" i="6"/>
  <c r="T62" i="6"/>
  <c r="T145" i="6"/>
  <c r="S145" i="6"/>
  <c r="R145" i="6"/>
  <c r="U145" i="6"/>
  <c r="T167" i="6"/>
  <c r="S167" i="6"/>
  <c r="R167" i="6"/>
  <c r="U167" i="6"/>
  <c r="T206" i="6"/>
  <c r="S206" i="6"/>
  <c r="R206" i="6"/>
  <c r="U206" i="6"/>
  <c r="T149" i="6"/>
  <c r="S149" i="6"/>
  <c r="R149" i="6"/>
  <c r="U149" i="6"/>
  <c r="T150" i="6"/>
  <c r="S150" i="6"/>
  <c r="R150" i="6"/>
  <c r="U150" i="6"/>
  <c r="T148" i="6"/>
  <c r="S148" i="6"/>
  <c r="R148" i="6"/>
  <c r="U148" i="6"/>
  <c r="R207" i="6"/>
  <c r="U207" i="6"/>
  <c r="T207" i="6"/>
  <c r="S207" i="6"/>
  <c r="S211" i="6"/>
  <c r="R211" i="6"/>
  <c r="U211" i="6"/>
  <c r="T211" i="6"/>
  <c r="U212" i="6"/>
  <c r="T212" i="6"/>
  <c r="S212" i="6"/>
  <c r="R212" i="6"/>
  <c r="T99" i="6"/>
  <c r="S99" i="6"/>
  <c r="R99" i="6"/>
  <c r="U99" i="6"/>
  <c r="U48" i="6"/>
  <c r="T48" i="6"/>
  <c r="S48" i="6"/>
  <c r="R48" i="6"/>
  <c r="R50" i="6"/>
  <c r="U50" i="6"/>
  <c r="T50" i="6"/>
  <c r="S50" i="6"/>
  <c r="U118" i="6"/>
  <c r="T118" i="6"/>
  <c r="S118" i="6"/>
  <c r="R118" i="6"/>
  <c r="U119" i="6"/>
  <c r="T119" i="6"/>
  <c r="S119" i="6"/>
  <c r="R119" i="6"/>
  <c r="T120" i="6"/>
  <c r="S120" i="6"/>
  <c r="R120" i="6"/>
  <c r="U120" i="6"/>
  <c r="R38" i="6"/>
  <c r="U38" i="6"/>
  <c r="S38" i="6"/>
  <c r="T38" i="6"/>
  <c r="T64" i="6"/>
  <c r="S64" i="6"/>
  <c r="R64" i="6"/>
  <c r="U64" i="6"/>
  <c r="R66" i="6"/>
  <c r="U66" i="6"/>
  <c r="T66" i="6"/>
  <c r="S66" i="6"/>
  <c r="S43" i="6"/>
  <c r="R43" i="6"/>
  <c r="U43" i="6"/>
  <c r="T43" i="6"/>
  <c r="T88" i="6"/>
  <c r="S88" i="6"/>
  <c r="R88" i="6"/>
  <c r="U88" i="6"/>
  <c r="R76" i="6"/>
  <c r="U76" i="6"/>
  <c r="T76" i="6"/>
  <c r="S76" i="6"/>
  <c r="U218" i="6"/>
  <c r="S218" i="6"/>
  <c r="T218" i="6"/>
  <c r="R218" i="6"/>
  <c r="U190" i="6"/>
  <c r="T190" i="6"/>
  <c r="S190" i="6"/>
  <c r="R190" i="6"/>
  <c r="U203" i="6"/>
  <c r="T203" i="6"/>
  <c r="S203" i="6"/>
  <c r="R203" i="6"/>
  <c r="T91" i="6"/>
  <c r="S91" i="6"/>
  <c r="R91" i="6"/>
  <c r="U91" i="6"/>
  <c r="U123" i="6"/>
  <c r="T123" i="6"/>
  <c r="S123" i="6"/>
  <c r="R123" i="6"/>
  <c r="S36" i="6"/>
  <c r="R36" i="6"/>
  <c r="U36" i="6"/>
  <c r="T36" i="6"/>
  <c r="T56" i="6"/>
  <c r="S56" i="6"/>
  <c r="R56" i="6"/>
  <c r="U56" i="6"/>
  <c r="T60" i="6"/>
  <c r="S60" i="6"/>
  <c r="R60" i="6"/>
  <c r="U60" i="6"/>
  <c r="S40" i="6"/>
  <c r="R40" i="6"/>
  <c r="U40" i="6"/>
  <c r="T40" i="6"/>
  <c r="T80" i="6"/>
  <c r="S80" i="6"/>
  <c r="R80" i="6"/>
  <c r="U80" i="6"/>
  <c r="U132" i="6"/>
  <c r="T132" i="6"/>
  <c r="S132" i="6"/>
  <c r="R132" i="6"/>
  <c r="T68" i="6"/>
  <c r="S68" i="6"/>
  <c r="R68" i="6"/>
  <c r="U68" i="6"/>
  <c r="U159" i="6"/>
  <c r="T159" i="6"/>
  <c r="S159" i="6"/>
  <c r="R159" i="6"/>
  <c r="U140" i="6"/>
  <c r="T140" i="6"/>
  <c r="S140" i="6"/>
  <c r="R140" i="6"/>
  <c r="S42" i="6"/>
  <c r="R42" i="6"/>
  <c r="U42" i="6"/>
  <c r="T42" i="6"/>
  <c r="S45" i="6"/>
  <c r="R45" i="6"/>
  <c r="U45" i="6"/>
  <c r="T45" i="6"/>
  <c r="T111" i="6"/>
  <c r="S111" i="6"/>
  <c r="R111" i="6"/>
  <c r="U111" i="6"/>
  <c r="U129" i="6"/>
  <c r="T129" i="6"/>
  <c r="S129" i="6"/>
  <c r="R129" i="6"/>
  <c r="T54" i="6"/>
  <c r="S54" i="6"/>
  <c r="R54" i="6"/>
  <c r="U54" i="6"/>
  <c r="U141" i="6"/>
  <c r="T141" i="6"/>
  <c r="S141" i="6"/>
  <c r="R141" i="6"/>
  <c r="U136" i="6"/>
  <c r="T136" i="6"/>
  <c r="S136" i="6"/>
  <c r="R136" i="6"/>
  <c r="U202" i="6"/>
  <c r="T202" i="6"/>
  <c r="S202" i="6"/>
  <c r="R202" i="6"/>
  <c r="U210" i="6"/>
  <c r="T210" i="6"/>
  <c r="S210" i="6"/>
  <c r="R210" i="6"/>
  <c r="U137" i="6"/>
  <c r="T137" i="6"/>
  <c r="S137" i="6"/>
  <c r="R137" i="6"/>
  <c r="U198" i="6"/>
  <c r="T198" i="6"/>
  <c r="S198" i="6"/>
  <c r="R198" i="6"/>
  <c r="U191" i="6"/>
  <c r="T191" i="6"/>
  <c r="S191" i="6"/>
  <c r="R191" i="6"/>
  <c r="U142" i="6"/>
  <c r="T142" i="6"/>
  <c r="S142" i="6"/>
  <c r="R142" i="6"/>
  <c r="U195" i="6"/>
  <c r="T195" i="6"/>
  <c r="S195" i="6"/>
  <c r="R195" i="6"/>
  <c r="U201" i="6"/>
  <c r="T201" i="6"/>
  <c r="S201" i="6"/>
  <c r="R201" i="6"/>
  <c r="U199" i="6"/>
  <c r="T199" i="6"/>
  <c r="S199" i="6"/>
  <c r="R199" i="6"/>
  <c r="U204" i="6"/>
  <c r="T204" i="6"/>
  <c r="S204" i="6"/>
  <c r="R204" i="6"/>
  <c r="U209" i="6"/>
  <c r="T209" i="6"/>
  <c r="S209" i="6"/>
  <c r="R209" i="6"/>
  <c r="U196" i="6"/>
  <c r="T196" i="6"/>
  <c r="S196" i="6"/>
  <c r="R196" i="6"/>
  <c r="T83" i="6"/>
  <c r="S83" i="6"/>
  <c r="R83" i="6"/>
  <c r="U83" i="6"/>
  <c r="S35" i="6"/>
  <c r="R35" i="6"/>
  <c r="U35" i="6"/>
  <c r="T35" i="6"/>
  <c r="U124" i="6"/>
  <c r="T124" i="6"/>
  <c r="S124" i="6"/>
  <c r="R124" i="6"/>
  <c r="S41" i="6"/>
  <c r="R41" i="6"/>
  <c r="U41" i="6"/>
  <c r="T41" i="6"/>
  <c r="S44" i="6"/>
  <c r="R44" i="6"/>
  <c r="U44" i="6"/>
  <c r="T44" i="6"/>
  <c r="T58" i="6"/>
  <c r="S58" i="6"/>
  <c r="R58" i="6"/>
  <c r="U58" i="6"/>
  <c r="T51" i="6"/>
  <c r="S51" i="6"/>
  <c r="R51" i="6"/>
  <c r="U51" i="6"/>
  <c r="T110" i="6"/>
  <c r="S110" i="6"/>
  <c r="U110" i="6"/>
  <c r="R110" i="6"/>
  <c r="U112" i="6"/>
  <c r="T112" i="6"/>
  <c r="S112" i="6"/>
  <c r="R112" i="6"/>
  <c r="B128" i="2" l="1"/>
  <c r="S208" i="6" l="1"/>
  <c r="R208" i="6"/>
  <c r="U208" i="6"/>
  <c r="T208" i="6"/>
  <c r="T30" i="6"/>
  <c r="S30" i="6"/>
  <c r="R30" i="6"/>
  <c r="U30" i="6"/>
  <c r="S29" i="6"/>
  <c r="R29" i="6"/>
  <c r="U29" i="6"/>
  <c r="T29" i="6"/>
  <c r="U200" i="6"/>
  <c r="T200" i="6"/>
  <c r="S200" i="6"/>
  <c r="R200" i="6"/>
</calcChain>
</file>

<file path=xl/sharedStrings.xml><?xml version="1.0" encoding="utf-8"?>
<sst xmlns="http://schemas.openxmlformats.org/spreadsheetml/2006/main" count="6578" uniqueCount="1262">
  <si>
    <t>ID</t>
  </si>
  <si>
    <t>Family</t>
  </si>
  <si>
    <t>Subfamily</t>
  </si>
  <si>
    <t>Genus</t>
  </si>
  <si>
    <t>Species</t>
  </si>
  <si>
    <t>Authorship</t>
  </si>
  <si>
    <t>Identified as</t>
  </si>
  <si>
    <t>Chromatic
Disorder</t>
  </si>
  <si>
    <t>Placement</t>
  </si>
  <si>
    <t>Institution</t>
  </si>
  <si>
    <t>Number</t>
  </si>
  <si>
    <t>Sex</t>
  </si>
  <si>
    <t>Age
Group</t>
  </si>
  <si>
    <t>Shelter</t>
  </si>
  <si>
    <t>Country</t>
  </si>
  <si>
    <t>State
Province</t>
  </si>
  <si>
    <t>Locality</t>
  </si>
  <si>
    <t>Latitude</t>
  </si>
  <si>
    <t>Longitude</t>
  </si>
  <si>
    <t>Source</t>
  </si>
  <si>
    <t>Page</t>
  </si>
  <si>
    <t>Note</t>
  </si>
  <si>
    <t>Rhinolophus cornutus</t>
  </si>
  <si>
    <t>Rhinolophus hipposideros</t>
  </si>
  <si>
    <t>Hipposideros diadema</t>
  </si>
  <si>
    <t>Hipposideros ruber</t>
  </si>
  <si>
    <t>Rhinopoma microphyllum</t>
  </si>
  <si>
    <t>Macrotus waterhousii</t>
  </si>
  <si>
    <t>Desmodus rotundus</t>
  </si>
  <si>
    <t>Vampyrum spectrum</t>
  </si>
  <si>
    <t>Glossophaga longirostris</t>
  </si>
  <si>
    <t>Glossophaga soricina</t>
  </si>
  <si>
    <t>Carollia perspicillata</t>
  </si>
  <si>
    <t>Artibeus jamaicensis</t>
  </si>
  <si>
    <t>Artibeus lituratus</t>
  </si>
  <si>
    <t>Artibeus planirostris</t>
  </si>
  <si>
    <t>Dermanura cinerea</t>
  </si>
  <si>
    <t>Sturnira erythromos</t>
  </si>
  <si>
    <t>Uroderma convexum</t>
  </si>
  <si>
    <t>Chaerephon plicatus</t>
  </si>
  <si>
    <t>Eumops glaucinus</t>
  </si>
  <si>
    <t>Molossus molossus</t>
  </si>
  <si>
    <t>Molossus rufus</t>
  </si>
  <si>
    <t>Mormopterus francoismoutoui</t>
  </si>
  <si>
    <t>Tadarida brasiliensis</t>
  </si>
  <si>
    <t>Eptesicus furinalis</t>
  </si>
  <si>
    <t>Eptesicus fuscus</t>
  </si>
  <si>
    <t>Eptesicus serotinus</t>
  </si>
  <si>
    <t>Nyctalus noctula</t>
  </si>
  <si>
    <t>Pipistrellus abramus</t>
  </si>
  <si>
    <t>Pipistrellus pygmaeus</t>
  </si>
  <si>
    <t>Pipistrellus subflavus</t>
  </si>
  <si>
    <t>Plecotus auritus</t>
  </si>
  <si>
    <t>Antrozous pallidus</t>
  </si>
  <si>
    <t>Myotis dasycneme</t>
  </si>
  <si>
    <t>Myotis lucifugus</t>
  </si>
  <si>
    <t>Myotis macrodactylus</t>
  </si>
  <si>
    <t>Myotis myotis</t>
  </si>
  <si>
    <t>Myotis sodalis</t>
  </si>
  <si>
    <t>Myotis velifer</t>
  </si>
  <si>
    <t>Pteronotus quadridens</t>
  </si>
  <si>
    <t>Rousettus leschenaultii</t>
  </si>
  <si>
    <t>Rhinolophus ferrumequinum</t>
  </si>
  <si>
    <t>Hipposideros lankadiva</t>
  </si>
  <si>
    <t>Nycteris nana</t>
  </si>
  <si>
    <t>Rhinophylla pumilio</t>
  </si>
  <si>
    <t>Pteronotus parnellii</t>
  </si>
  <si>
    <t>Lasiurus borealis</t>
  </si>
  <si>
    <t>Neoromicia capensis</t>
  </si>
  <si>
    <t>Vespertilio sinensis</t>
  </si>
  <si>
    <t>Myotis mystacinus</t>
  </si>
  <si>
    <t>Rhinolophus</t>
  </si>
  <si>
    <t>Hipposideros</t>
  </si>
  <si>
    <t>Rhinopoma</t>
  </si>
  <si>
    <t>Nycteris</t>
  </si>
  <si>
    <t>Macrotus</t>
  </si>
  <si>
    <t>Micronycteris</t>
  </si>
  <si>
    <t>Desmodus</t>
  </si>
  <si>
    <t>Vampyrum</t>
  </si>
  <si>
    <t>Anoura</t>
  </si>
  <si>
    <t>Glossophaga</t>
  </si>
  <si>
    <t>Carollia</t>
  </si>
  <si>
    <t>Artibeus</t>
  </si>
  <si>
    <t>Dermanura</t>
  </si>
  <si>
    <t>Sturnira</t>
  </si>
  <si>
    <t>Uroderma</t>
  </si>
  <si>
    <t>Chaerephon</t>
  </si>
  <si>
    <t>Eumops</t>
  </si>
  <si>
    <t>Molossus</t>
  </si>
  <si>
    <t>Mormopterus</t>
  </si>
  <si>
    <t>Tadarida</t>
  </si>
  <si>
    <t>Miniopterus</t>
  </si>
  <si>
    <t>Eptesicus</t>
  </si>
  <si>
    <t>Myotis</t>
  </si>
  <si>
    <t>Nyctalus</t>
  </si>
  <si>
    <t>Pipistrellus</t>
  </si>
  <si>
    <t>Plecotus</t>
  </si>
  <si>
    <t>Antrozous</t>
  </si>
  <si>
    <t>Pteronotus</t>
  </si>
  <si>
    <t>Rousettus</t>
  </si>
  <si>
    <t>Rhinophylla</t>
  </si>
  <si>
    <t>Barbastella</t>
  </si>
  <si>
    <t>Lasiurus</t>
  </si>
  <si>
    <t>Neoromicia</t>
  </si>
  <si>
    <t>Vespertilio</t>
  </si>
  <si>
    <t>Rhinolophidae</t>
  </si>
  <si>
    <t>Nycteridae</t>
  </si>
  <si>
    <t>-</t>
  </si>
  <si>
    <t>Hipposideridae</t>
  </si>
  <si>
    <t>Rhinopomatidae</t>
  </si>
  <si>
    <t>Phyllostomidae</t>
  </si>
  <si>
    <t>Macrotinae</t>
  </si>
  <si>
    <t>Carollinae</t>
  </si>
  <si>
    <t>Micronycterinae</t>
  </si>
  <si>
    <t>Desmodontinae</t>
  </si>
  <si>
    <t>Phyllostominae</t>
  </si>
  <si>
    <t>Glossophaginae</t>
  </si>
  <si>
    <t>Stenodermatinae</t>
  </si>
  <si>
    <t>Molossidae</t>
  </si>
  <si>
    <t>Molossinae</t>
  </si>
  <si>
    <t>Miniopteridae</t>
  </si>
  <si>
    <t>Vespertilionidae</t>
  </si>
  <si>
    <t>Vespertilioninae</t>
  </si>
  <si>
    <t>Myotinae</t>
  </si>
  <si>
    <t>Mormoopidae</t>
  </si>
  <si>
    <t>Pteropodidae</t>
  </si>
  <si>
    <t>Emballonuridae</t>
  </si>
  <si>
    <t>Rhinophyllinae</t>
  </si>
  <si>
    <t>India</t>
  </si>
  <si>
    <t>D</t>
  </si>
  <si>
    <t>M</t>
  </si>
  <si>
    <t>S</t>
  </si>
  <si>
    <t>N</t>
  </si>
  <si>
    <t>E</t>
  </si>
  <si>
    <t>Imprecise, only for map building</t>
  </si>
  <si>
    <t>Argentina</t>
  </si>
  <si>
    <t>Corrientes</t>
  </si>
  <si>
    <t>Bella Vista</t>
  </si>
  <si>
    <t>W</t>
  </si>
  <si>
    <t>Year</t>
  </si>
  <si>
    <t>Authors</t>
  </si>
  <si>
    <t>Title</t>
  </si>
  <si>
    <t>Page
Initial</t>
  </si>
  <si>
    <t>Page
Final</t>
  </si>
  <si>
    <t>Journal</t>
  </si>
  <si>
    <t>Volume</t>
  </si>
  <si>
    <t>Issue</t>
  </si>
  <si>
    <t>(Desmarest, 1820)</t>
  </si>
  <si>
    <t>A review of complete albinism in bats with five new cases from Brazil</t>
  </si>
  <si>
    <t>Acta Chiropterologica</t>
  </si>
  <si>
    <t>Albinism</t>
  </si>
  <si>
    <t>Karim 1983</t>
  </si>
  <si>
    <t>KB Karim</t>
  </si>
  <si>
    <t>Bat Research News</t>
  </si>
  <si>
    <r>
      <t xml:space="preserve">A note on an albino </t>
    </r>
    <r>
      <rPr>
        <i/>
        <sz val="8"/>
        <color theme="1"/>
        <rFont val="Calibri"/>
        <family val="2"/>
        <scheme val="minor"/>
      </rPr>
      <t>Rousettus leschenaulti</t>
    </r>
  </si>
  <si>
    <t>Temminck, 1834</t>
  </si>
  <si>
    <t>F</t>
  </si>
  <si>
    <t>Cave</t>
  </si>
  <si>
    <t>China</t>
  </si>
  <si>
    <t>Henan</t>
  </si>
  <si>
    <t>Xinyang, Xinxian</t>
  </si>
  <si>
    <r>
      <t xml:space="preserve">A case of albinism in </t>
    </r>
    <r>
      <rPr>
        <i/>
        <sz val="8"/>
        <color theme="1"/>
        <rFont val="Calibri"/>
        <family val="2"/>
        <scheme val="minor"/>
      </rPr>
      <t>Rhinolophus cornutus</t>
    </r>
    <r>
      <rPr>
        <sz val="8"/>
        <color theme="1"/>
        <rFont val="Calibri"/>
        <family val="2"/>
        <scheme val="minor"/>
      </rPr>
      <t xml:space="preserve"> from Henan Province</t>
    </r>
  </si>
  <si>
    <t>Journal of Henan Normal University (Natural Science)</t>
  </si>
  <si>
    <t>Google Earth</t>
  </si>
  <si>
    <t>Japan</t>
  </si>
  <si>
    <t>Tokyo</t>
  </si>
  <si>
    <t>Okutama, Kurasawa Limestone Cave</t>
  </si>
  <si>
    <t>Two examples of partial albinism in insectivorous bats from Japan</t>
  </si>
  <si>
    <t>Journal of the Mammalogical Society of Japan</t>
  </si>
  <si>
    <t>(Schreber, 1774)</t>
  </si>
  <si>
    <t>South Africa</t>
  </si>
  <si>
    <t>Allen 1939</t>
  </si>
  <si>
    <t>Bats</t>
  </si>
  <si>
    <t>Book</t>
  </si>
  <si>
    <t>(Bechstein, 1800)</t>
  </si>
  <si>
    <t>Netopiere</t>
  </si>
  <si>
    <r>
      <t>Nález nápadne svetlo sfarbeného podkovára malého (</t>
    </r>
    <r>
      <rPr>
        <i/>
        <sz val="8"/>
        <color theme="1"/>
        <rFont val="Calibri"/>
        <family val="2"/>
        <scheme val="minor"/>
      </rPr>
      <t>Rhinolophus hipposideros</t>
    </r>
    <r>
      <rPr>
        <sz val="8"/>
        <color theme="1"/>
        <rFont val="Calibri"/>
        <family val="2"/>
        <scheme val="minor"/>
      </rPr>
      <t>)</t>
    </r>
  </si>
  <si>
    <t>Subadult</t>
  </si>
  <si>
    <t>Building</t>
  </si>
  <si>
    <t>Slovakia</t>
  </si>
  <si>
    <t>Košice</t>
  </si>
  <si>
    <t>Ruský Hrabovec, church</t>
  </si>
  <si>
    <r>
      <t>Totální albinismus u vrápence malého (</t>
    </r>
    <r>
      <rPr>
        <i/>
        <sz val="8"/>
        <color theme="1"/>
        <rFont val="Calibri"/>
        <family val="2"/>
        <scheme val="minor"/>
      </rPr>
      <t>Rhinolophus hipposideros</t>
    </r>
    <r>
      <rPr>
        <sz val="8"/>
        <color theme="1"/>
        <rFont val="Calibri"/>
        <family val="2"/>
        <scheme val="minor"/>
      </rPr>
      <t>)</t>
    </r>
  </si>
  <si>
    <t>CUP</t>
  </si>
  <si>
    <t>Open Space</t>
  </si>
  <si>
    <t>Roznava</t>
  </si>
  <si>
    <t>Betliar</t>
  </si>
  <si>
    <t>Z</t>
  </si>
  <si>
    <t>Reproductive
State</t>
  </si>
  <si>
    <t>Adult</t>
  </si>
  <si>
    <t>Inactive</t>
  </si>
  <si>
    <t>Czech Republic</t>
  </si>
  <si>
    <t>Jeseník</t>
  </si>
  <si>
    <t>Lipova-Lazne, Rasovna cave</t>
  </si>
  <si>
    <t>Roušarová cave</t>
  </si>
  <si>
    <r>
      <t>Nález albinotických vrápencu malých (</t>
    </r>
    <r>
      <rPr>
        <i/>
        <sz val="8"/>
        <color theme="1"/>
        <rFont val="Calibri"/>
        <family val="2"/>
        <scheme val="minor"/>
      </rPr>
      <t>Rhinolophus hipposideros</t>
    </r>
    <r>
      <rPr>
        <sz val="8"/>
        <color theme="1"/>
        <rFont val="Calibri"/>
        <family val="2"/>
        <scheme val="minor"/>
      </rPr>
      <t>) v Hrubém Jeseníku</t>
    </r>
  </si>
  <si>
    <t>Hystrix</t>
  </si>
  <si>
    <r>
      <t>Two unusual records of the lesser horseshoe bat (</t>
    </r>
    <r>
      <rPr>
        <i/>
        <sz val="8"/>
        <color theme="1"/>
        <rFont val="Calibri"/>
        <family val="2"/>
        <scheme val="minor"/>
      </rPr>
      <t>Rhinolophus hipposideros</t>
    </r>
    <r>
      <rPr>
        <sz val="8"/>
        <color theme="1"/>
        <rFont val="Calibri"/>
        <family val="2"/>
        <scheme val="minor"/>
      </rPr>
      <t>) in the Moravian Karst (Czech Republic)</t>
    </r>
  </si>
  <si>
    <t>Blansko</t>
  </si>
  <si>
    <t>Moravian Karst, Sloupsko-šošůvské Caves [= Kateřinská Cave]</t>
  </si>
  <si>
    <t>East African Wildlife Journal</t>
  </si>
  <si>
    <r>
      <t xml:space="preserve">An albino bat, </t>
    </r>
    <r>
      <rPr>
        <i/>
        <sz val="8"/>
        <color theme="1"/>
        <rFont val="Calibri"/>
        <family val="2"/>
        <scheme val="minor"/>
      </rPr>
      <t>Hipposideros ruber</t>
    </r>
    <r>
      <rPr>
        <sz val="8"/>
        <color theme="1"/>
        <rFont val="Calibri"/>
        <family val="2"/>
        <scheme val="minor"/>
      </rPr>
      <t xml:space="preserve"> Noack, from Tanzania</t>
    </r>
  </si>
  <si>
    <r>
      <t xml:space="preserve">Un cas d'albinisme complet chez un cheiroptère: </t>
    </r>
    <r>
      <rPr>
        <i/>
        <sz val="8"/>
        <color theme="1"/>
        <rFont val="Calibri"/>
        <family val="2"/>
        <scheme val="minor"/>
      </rPr>
      <t xml:space="preserve">Nycteris nana </t>
    </r>
    <r>
      <rPr>
        <sz val="8"/>
        <color theme="1"/>
        <rFont val="Calibri"/>
        <family val="2"/>
        <scheme val="minor"/>
      </rPr>
      <t>(Andersen)</t>
    </r>
  </si>
  <si>
    <t>Bulletin de l'Institut Royal des Sciences Naturelles de Belgique</t>
  </si>
  <si>
    <t>Democratic Republic of Congo</t>
  </si>
  <si>
    <t>Parc National de la Garamba</t>
  </si>
  <si>
    <t>Taiwan</t>
  </si>
  <si>
    <t>Pingtung</t>
  </si>
  <si>
    <t>Heng-Chun, Kenting National Park</t>
  </si>
  <si>
    <t>Mammalia</t>
  </si>
  <si>
    <r>
      <t xml:space="preserve">Albinism in the Japanese house bat </t>
    </r>
    <r>
      <rPr>
        <i/>
        <sz val="8"/>
        <color theme="1"/>
        <rFont val="Calibri"/>
        <family val="2"/>
        <scheme val="minor"/>
      </rPr>
      <t>Pipistrellus abramus</t>
    </r>
    <r>
      <rPr>
        <sz val="8"/>
        <color theme="1"/>
        <rFont val="Calibri"/>
        <family val="2"/>
        <scheme val="minor"/>
      </rPr>
      <t xml:space="preserve"> and the Formosan leaf-nosed bat </t>
    </r>
    <r>
      <rPr>
        <i/>
        <sz val="8"/>
        <color theme="1"/>
        <rFont val="Calibri"/>
        <family val="2"/>
        <scheme val="minor"/>
      </rPr>
      <t>Hipposideros terasensis</t>
    </r>
    <r>
      <rPr>
        <sz val="8"/>
        <color theme="1"/>
        <rFont val="Calibri"/>
        <family val="2"/>
        <scheme val="minor"/>
      </rPr>
      <t xml:space="preserve"> in Taiwan</t>
    </r>
  </si>
  <si>
    <t>Population status and conservation of bats (Chiroptera) in Kenting National Park, Taiwan</t>
  </si>
  <si>
    <t>Oryx</t>
  </si>
  <si>
    <t>(É. Geoffroy Saint-Hilaire, 1813)</t>
  </si>
  <si>
    <t>Hipposideros diadema nicobarensis</t>
  </si>
  <si>
    <t>Andaman and Nicobar Islands</t>
  </si>
  <si>
    <t>Nicobar Island, Katchal cave</t>
  </si>
  <si>
    <t>Current Science</t>
  </si>
  <si>
    <r>
      <t xml:space="preserve">Sighting of an albino bat in a colony of cave-dwelling microchiropteran, </t>
    </r>
    <r>
      <rPr>
        <i/>
        <sz val="8"/>
        <color theme="1"/>
        <rFont val="Calibri"/>
        <family val="2"/>
        <scheme val="minor"/>
      </rPr>
      <t>Hipposideros diadema nicobarensis</t>
    </r>
    <r>
      <rPr>
        <sz val="8"/>
        <color theme="1"/>
        <rFont val="Calibri"/>
        <family val="2"/>
        <scheme val="minor"/>
      </rPr>
      <t xml:space="preserve"> at the Nicobar Islands</t>
    </r>
  </si>
  <si>
    <t>Kelaart, 1850</t>
  </si>
  <si>
    <t>Khajuria 1984</t>
  </si>
  <si>
    <t>Notes on some central Indian bats</t>
  </si>
  <si>
    <t>Journal of the Zoological Society of India</t>
  </si>
  <si>
    <t>Guangxi</t>
  </si>
  <si>
    <t>Guilin</t>
  </si>
  <si>
    <t>Chinese Journal of Zoology</t>
  </si>
  <si>
    <r>
      <t xml:space="preserve">A partial albino pup of </t>
    </r>
    <r>
      <rPr>
        <i/>
        <sz val="8"/>
        <color theme="1"/>
        <rFont val="Calibri"/>
        <family val="2"/>
        <scheme val="minor"/>
      </rPr>
      <t>Hipposideros larvatus</t>
    </r>
    <r>
      <rPr>
        <sz val="8"/>
        <color theme="1"/>
        <rFont val="Calibri"/>
        <family val="2"/>
        <scheme val="minor"/>
      </rPr>
      <t xml:space="preserve"> found in Guangxi Province</t>
    </r>
  </si>
  <si>
    <t>(Noack, 1893)</t>
  </si>
  <si>
    <t>KHB</t>
  </si>
  <si>
    <t>Tanzania</t>
  </si>
  <si>
    <t>Pwani</t>
  </si>
  <si>
    <t>Kisarawe, abandoned kaolin mine</t>
  </si>
  <si>
    <t>Abnormal white colouration in three species of insectivorous African bats</t>
  </si>
  <si>
    <t>Journal of Zoology</t>
  </si>
  <si>
    <t>BMNH</t>
  </si>
  <si>
    <t>Gray, 1831</t>
  </si>
  <si>
    <t>Rhinopoma hardwickei hardwickei</t>
  </si>
  <si>
    <t>Madhya Pradesh</t>
  </si>
  <si>
    <t>Jabalpur</t>
  </si>
  <si>
    <t>The Journal of the Bombay Natural History Society</t>
  </si>
  <si>
    <r>
      <t xml:space="preserve">Albinism in the lesser rat-tailed bat, </t>
    </r>
    <r>
      <rPr>
        <i/>
        <sz val="8"/>
        <color theme="1"/>
        <rFont val="Calibri"/>
        <family val="2"/>
        <scheme val="minor"/>
      </rPr>
      <t>Rhinopoma h. hardwickei</t>
    </r>
    <r>
      <rPr>
        <sz val="8"/>
        <color theme="1"/>
        <rFont val="Calibri"/>
        <family val="2"/>
        <scheme val="minor"/>
      </rPr>
      <t xml:space="preserve"> Gray (Chiroptera: Rhinopomatidae)</t>
    </r>
  </si>
  <si>
    <t>(Brünnich, 1782)</t>
  </si>
  <si>
    <t>Rhinopoma microphyllum kinneari</t>
  </si>
  <si>
    <t>Rajasthan</t>
  </si>
  <si>
    <t>University of Jodphur</t>
  </si>
  <si>
    <r>
      <t xml:space="preserve">Occurrence of an albino rat-tailed bat; </t>
    </r>
    <r>
      <rPr>
        <i/>
        <sz val="8"/>
        <color theme="1"/>
        <rFont val="Calibri"/>
        <family val="2"/>
        <scheme val="minor"/>
      </rPr>
      <t>Rhinopoma microphyllum kinneari</t>
    </r>
    <r>
      <rPr>
        <sz val="8"/>
        <color theme="1"/>
        <rFont val="Calibri"/>
        <family val="2"/>
        <scheme val="minor"/>
      </rPr>
      <t xml:space="preserve"> Wroughton in the Indian Desert</t>
    </r>
  </si>
  <si>
    <t>Rhinopoma microphyllum kinneri</t>
  </si>
  <si>
    <t>Gujarat</t>
  </si>
  <si>
    <t>Jambughoda Wildlife Sancturary</t>
  </si>
  <si>
    <r>
      <t xml:space="preserve">Albino microchiropteran, </t>
    </r>
    <r>
      <rPr>
        <i/>
        <sz val="8"/>
        <color theme="1"/>
        <rFont val="Calibri"/>
        <family val="2"/>
        <scheme val="minor"/>
      </rPr>
      <t>Rhinopoma microphyllum kinneri</t>
    </r>
    <r>
      <rPr>
        <sz val="8"/>
        <color theme="1"/>
        <rFont val="Calibri"/>
        <family val="2"/>
        <scheme val="minor"/>
      </rPr>
      <t xml:space="preserve"> sighted in a bat colony inhabiting abandoned mines</t>
    </r>
  </si>
  <si>
    <t>Australia</t>
  </si>
  <si>
    <t>Northern Territory Naturalist</t>
  </si>
  <si>
    <r>
      <t xml:space="preserve">An albino common sheat-tailed bat </t>
    </r>
    <r>
      <rPr>
        <i/>
        <sz val="8"/>
        <color theme="1"/>
        <rFont val="Calibri"/>
        <family val="2"/>
        <scheme val="minor"/>
      </rPr>
      <t>Taphozous georgianus</t>
    </r>
    <r>
      <rPr>
        <sz val="8"/>
        <color theme="1"/>
        <rFont val="Calibri"/>
        <family val="2"/>
        <scheme val="minor"/>
      </rPr>
      <t xml:space="preserve"> from the Arnhem land escarpment</t>
    </r>
  </si>
  <si>
    <t>Nourlangie Rock</t>
  </si>
  <si>
    <t>Northern Territory</t>
  </si>
  <si>
    <t>3548/1</t>
  </si>
  <si>
    <t>Hollow Tree</t>
  </si>
  <si>
    <t>Forest gallery, at the head source of a high tributary of the Makpe River</t>
  </si>
  <si>
    <t>Haut-Uele</t>
  </si>
  <si>
    <t>Post Lactating</t>
  </si>
  <si>
    <t>RBE</t>
  </si>
  <si>
    <t>Gray, 1843</t>
  </si>
  <si>
    <t>Unusual coloration in three Mexican bats</t>
  </si>
  <si>
    <t>Mexico</t>
  </si>
  <si>
    <t>Lactating</t>
  </si>
  <si>
    <t>Guerrero</t>
  </si>
  <si>
    <t>Mezcala, Eduardo Neri</t>
  </si>
  <si>
    <t>Leucism in five species of bats from Mexico</t>
  </si>
  <si>
    <t>Chiroptera Neotropical</t>
  </si>
  <si>
    <t>Five albino bats from Guerrero and Colima, Mexico</t>
  </si>
  <si>
    <t>Miller, 1898</t>
  </si>
  <si>
    <t>Kempffiana</t>
  </si>
  <si>
    <t>Bolivia</t>
  </si>
  <si>
    <t>Santa Cruz</t>
  </si>
  <si>
    <t>Cordillera, Lagunillas, Yagüaroque</t>
  </si>
  <si>
    <t>(É. Geoffroy Saint-Hilaire, 1810)</t>
  </si>
  <si>
    <t>Desmodus rotundus rotundus</t>
  </si>
  <si>
    <t>American Museum Novitates</t>
  </si>
  <si>
    <r>
      <t xml:space="preserve">New records of bats from Trinidad and Tobago on the status of </t>
    </r>
    <r>
      <rPr>
        <i/>
        <sz val="8"/>
        <color theme="1"/>
        <rFont val="Calibri"/>
        <family val="2"/>
        <scheme val="minor"/>
      </rPr>
      <t>Molossus trinitatus</t>
    </r>
    <r>
      <rPr>
        <sz val="8"/>
        <color theme="1"/>
        <rFont val="Calibri"/>
        <family val="2"/>
        <scheme val="minor"/>
      </rPr>
      <t xml:space="preserve"> Goodwin</t>
    </r>
  </si>
  <si>
    <t>Trinidad and Tobago</t>
  </si>
  <si>
    <t>Port of Spain</t>
  </si>
  <si>
    <t>Arquivo Brasileiro de Medicina Veterinária e Zootecnia</t>
  </si>
  <si>
    <r>
      <t xml:space="preserve">Albinismo em </t>
    </r>
    <r>
      <rPr>
        <i/>
        <sz val="8"/>
        <color theme="1"/>
        <rFont val="Calibri"/>
        <family val="2"/>
        <scheme val="minor"/>
      </rPr>
      <t>Desmodus rotundus rotundus</t>
    </r>
    <r>
      <rPr>
        <sz val="8"/>
        <color theme="1"/>
        <rFont val="Calibri"/>
        <family val="2"/>
        <scheme val="minor"/>
      </rPr>
      <t>, Chiroptera (E. Geoffroy, 1810)</t>
    </r>
  </si>
  <si>
    <t>Brazil</t>
  </si>
  <si>
    <t>Minas Gerais</t>
  </si>
  <si>
    <t>Almenara</t>
  </si>
  <si>
    <t>UFMG</t>
  </si>
  <si>
    <t>Paraná</t>
  </si>
  <si>
    <t>Castro</t>
  </si>
  <si>
    <t>São Paulo</t>
  </si>
  <si>
    <t>Apiaí</t>
  </si>
  <si>
    <t>Piauí</t>
  </si>
  <si>
    <t>São Miguel do Tapuio</t>
  </si>
  <si>
    <t>Uruçuí</t>
  </si>
  <si>
    <t>UNESP</t>
  </si>
  <si>
    <t>Kept in captivity from January 1991 to May 1993, behavior analyzed (see Uieda 2001)</t>
  </si>
  <si>
    <t>Revista Brasileira de Zoologia</t>
  </si>
  <si>
    <t>Revista Veterinaria</t>
  </si>
  <si>
    <r>
      <t>Historia natural del murciélago de orejas largas (</t>
    </r>
    <r>
      <rPr>
        <i/>
        <sz val="8"/>
        <color theme="1"/>
        <rFont val="Calibri"/>
        <family val="2"/>
        <scheme val="minor"/>
      </rPr>
      <t>Micronycteris microtis</t>
    </r>
    <r>
      <rPr>
        <sz val="8"/>
        <color theme="1"/>
        <rFont val="Calibri"/>
        <family val="2"/>
        <scheme val="minor"/>
      </rPr>
      <t>, Miller 1898), em la Serranía de Incahusi, Santa Cruz-Bolívia</t>
    </r>
  </si>
  <si>
    <r>
      <t xml:space="preserve">Behavior of an albino vampire bat, </t>
    </r>
    <r>
      <rPr>
        <i/>
        <sz val="8"/>
        <color theme="1"/>
        <rFont val="Calibri"/>
        <family val="2"/>
        <scheme val="minor"/>
      </rPr>
      <t>Desmodus rotundus</t>
    </r>
    <r>
      <rPr>
        <sz val="8"/>
        <color theme="1"/>
        <rFont val="Calibri"/>
        <family val="2"/>
        <scheme val="minor"/>
      </rPr>
      <t xml:space="preserve"> (E. Geoffroy) (Chiroptera, Phyllostomidae), in captivity</t>
    </r>
  </si>
  <si>
    <r>
      <t xml:space="preserve">Registro del primer caso de albinismo completo en </t>
    </r>
    <r>
      <rPr>
        <i/>
        <sz val="8"/>
        <color theme="1"/>
        <rFont val="Calibri"/>
        <family val="2"/>
        <scheme val="minor"/>
      </rPr>
      <t>Desmodus rotundus</t>
    </r>
    <r>
      <rPr>
        <sz val="8"/>
        <color theme="1"/>
        <rFont val="Calibri"/>
        <family val="2"/>
        <scheme val="minor"/>
      </rPr>
      <t xml:space="preserve"> en Argentina</t>
    </r>
  </si>
  <si>
    <t>CNMA</t>
  </si>
  <si>
    <t>MUSM</t>
  </si>
  <si>
    <t>Peru</t>
  </si>
  <si>
    <t>Amazonas</t>
  </si>
  <si>
    <t>Rodriguez de Mendoza, community of Guambo</t>
  </si>
  <si>
    <t>Apurimac</t>
  </si>
  <si>
    <t>Abancay, Abancay, community of Pachachaca</t>
  </si>
  <si>
    <t>Lima</t>
  </si>
  <si>
    <t>Huaura, Vilcahuaura</t>
  </si>
  <si>
    <t>New record of pigmentation disorders in molossid and phyllostomid (Chiroptera) bats from Peru</t>
  </si>
  <si>
    <t>Venezuela</t>
  </si>
  <si>
    <t>Bolívar</t>
  </si>
  <si>
    <t>Hacienda Sagitario, km 90 Puerto Ayacucho-Caicara highway</t>
  </si>
  <si>
    <t>Memoria de la Fundacion La Salle de Ciencias Naturales</t>
  </si>
  <si>
    <r>
      <t xml:space="preserve">Nuevos registros de </t>
    </r>
    <r>
      <rPr>
        <i/>
        <sz val="8"/>
        <color theme="1"/>
        <rFont val="Calibri"/>
        <family val="2"/>
        <scheme val="minor"/>
      </rPr>
      <t>Lonchorhina fernandezi</t>
    </r>
    <r>
      <rPr>
        <sz val="8"/>
        <color theme="1"/>
        <rFont val="Calibri"/>
        <family val="2"/>
        <scheme val="minor"/>
      </rPr>
      <t xml:space="preserve"> (Chiroptera: Phyllostomidae) para Venezuela, con algunas anotaciones sobre su biología</t>
    </r>
  </si>
  <si>
    <r>
      <t xml:space="preserve">Records of leucism in three species of Colombian bats: </t>
    </r>
    <r>
      <rPr>
        <i/>
        <sz val="8"/>
        <color theme="1"/>
        <rFont val="Calibri"/>
        <family val="2"/>
        <scheme val="minor"/>
      </rPr>
      <t>Carollia brevicauda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Artibeus jamaicensis</t>
    </r>
    <r>
      <rPr>
        <sz val="8"/>
        <color theme="1"/>
        <rFont val="Calibri"/>
        <family val="2"/>
        <scheme val="minor"/>
      </rPr>
      <t xml:space="preserve"> and </t>
    </r>
    <r>
      <rPr>
        <i/>
        <sz val="8"/>
        <color theme="1"/>
        <rFont val="Calibri"/>
        <family val="2"/>
        <scheme val="minor"/>
      </rPr>
      <t>Lophostoma silvicolum</t>
    </r>
    <r>
      <rPr>
        <sz val="8"/>
        <color theme="1"/>
        <rFont val="Calibri"/>
        <family val="2"/>
        <scheme val="minor"/>
      </rPr>
      <t xml:space="preserve"> (Phyllostomidae)</t>
    </r>
  </si>
  <si>
    <t>Colombia</t>
  </si>
  <si>
    <t>Puerto Mocue, Ro Amacayacu</t>
  </si>
  <si>
    <t>Trinidad</t>
  </si>
  <si>
    <r>
      <t xml:space="preserve">First record of a leucistic piebald </t>
    </r>
    <r>
      <rPr>
        <i/>
        <sz val="8"/>
        <color theme="1"/>
        <rFont val="Calibri"/>
        <family val="2"/>
        <scheme val="minor"/>
      </rPr>
      <t>Phyllostomus discolor</t>
    </r>
    <r>
      <rPr>
        <sz val="8"/>
        <color theme="1"/>
        <rFont val="Calibri"/>
        <family val="2"/>
        <scheme val="minor"/>
      </rPr>
      <t xml:space="preserve"> (Chiroptera: Phyllostomidae)</t>
    </r>
  </si>
  <si>
    <t>Biological Dynamics of Forest Fragmentation (BDFFP), 80 km N Manaus</t>
  </si>
  <si>
    <t>Acta Zoológica Mexicana (n.s.)</t>
  </si>
  <si>
    <r>
      <t xml:space="preserve">Registro de leucismo en </t>
    </r>
    <r>
      <rPr>
        <i/>
        <sz val="8"/>
        <color theme="1"/>
        <rFont val="Calibri"/>
        <family val="2"/>
        <scheme val="minor"/>
      </rPr>
      <t>Artibeus planirostris</t>
    </r>
    <r>
      <rPr>
        <sz val="8"/>
        <color theme="1"/>
        <rFont val="Calibri"/>
        <family val="2"/>
        <scheme val="minor"/>
      </rPr>
      <t xml:space="preserve"> (Chiroptera: Phyllostomidae) en Colombia</t>
    </r>
  </si>
  <si>
    <t>Caquetá</t>
  </si>
  <si>
    <t>Belén de los Andaquies</t>
  </si>
  <si>
    <t>El Paujil</t>
  </si>
  <si>
    <t>San José de Fragua</t>
  </si>
  <si>
    <t>Marín-Vásquez et al 2013</t>
  </si>
  <si>
    <t>Aberrations in coat color pattern of colombian bats: isabelline, leucism and melanocytes nevus</t>
  </si>
  <si>
    <t>Online Journal of Biosciences and Informatics</t>
  </si>
  <si>
    <t>(Spix, 1823)</t>
  </si>
  <si>
    <t>Espírito Santo</t>
  </si>
  <si>
    <t>João Neiva, Barra do Triunfo, Gruta</t>
  </si>
  <si>
    <t>This study</t>
  </si>
  <si>
    <t>(Linnaeus, 1758)</t>
  </si>
  <si>
    <t>MCBN</t>
  </si>
  <si>
    <t>328M</t>
  </si>
  <si>
    <t>Ecuador</t>
  </si>
  <si>
    <t>Pastaza</t>
  </si>
  <si>
    <t>Palmera</t>
  </si>
  <si>
    <t>Mammalogy Notes</t>
  </si>
  <si>
    <r>
      <t xml:space="preserve">Primer caso de albinismo en </t>
    </r>
    <r>
      <rPr>
        <i/>
        <sz val="8"/>
        <color theme="1"/>
        <rFont val="Calibri"/>
        <family val="2"/>
        <scheme val="minor"/>
      </rPr>
      <t>Vampyrum spectrum</t>
    </r>
    <r>
      <rPr>
        <sz val="8"/>
        <color theme="1"/>
        <rFont val="Calibri"/>
        <family val="2"/>
        <scheme val="minor"/>
      </rPr>
      <t xml:space="preserve"> (Chiroptera: Phyllostomidae) para Ecuador</t>
    </r>
  </si>
  <si>
    <t>Journal of Mammalogy</t>
  </si>
  <si>
    <r>
      <t xml:space="preserve">Albinism in the long-tongued bat, </t>
    </r>
    <r>
      <rPr>
        <i/>
        <sz val="8"/>
        <color theme="1"/>
        <rFont val="Calibri"/>
        <family val="2"/>
        <scheme val="minor"/>
      </rPr>
      <t>Anoura caudifera</t>
    </r>
  </si>
  <si>
    <t>Yaracuy</t>
  </si>
  <si>
    <t>Aroa</t>
  </si>
  <si>
    <t>Leucismo en murciélagos de hoja nasal (Chiroptera, Phyllostomidae) de Colombia</t>
  </si>
  <si>
    <t>Boletín Científico. Centro de Museos. Museo de Historia Natural</t>
  </si>
  <si>
    <t>Valle del Cauca</t>
  </si>
  <si>
    <t>Calima-Darién, Alto de la Virgen, Finca Rosales</t>
  </si>
  <si>
    <t>Albinism in bats</t>
  </si>
  <si>
    <t>USNM</t>
  </si>
  <si>
    <t>Anzoátegui</t>
  </si>
  <si>
    <t>Cantaura</t>
  </si>
  <si>
    <t>(Pallas, 1766)</t>
  </si>
  <si>
    <t>Revue Suisse de Zoologie</t>
  </si>
  <si>
    <r>
      <t xml:space="preserve">Ein interessanter fall von albinismus bei </t>
    </r>
    <r>
      <rPr>
        <i/>
        <sz val="8"/>
        <color theme="1"/>
        <rFont val="Calibri"/>
        <family val="2"/>
        <scheme val="minor"/>
      </rPr>
      <t>Glossophaga soricina</t>
    </r>
    <r>
      <rPr>
        <sz val="8"/>
        <color theme="1"/>
        <rFont val="Calibri"/>
        <family val="2"/>
        <scheme val="minor"/>
      </rPr>
      <t xml:space="preserve"> Pall. ♀ ad.</t>
    </r>
  </si>
  <si>
    <t>Glossophaga soricina soricina</t>
  </si>
  <si>
    <t>AMNH</t>
  </si>
  <si>
    <t>Rio Claro-Mayaro</t>
  </si>
  <si>
    <t>Tamana</t>
  </si>
  <si>
    <r>
      <t xml:space="preserve">Primer registro de albinismo en </t>
    </r>
    <r>
      <rPr>
        <i/>
        <sz val="8"/>
        <color theme="1"/>
        <rFont val="Calibri"/>
        <family val="2"/>
        <scheme val="minor"/>
      </rPr>
      <t>Glossophaga soricina</t>
    </r>
    <r>
      <rPr>
        <sz val="8"/>
        <color theme="1"/>
        <rFont val="Calibri"/>
        <family val="2"/>
        <scheme val="minor"/>
      </rPr>
      <t xml:space="preserve"> (Phyllostomidae) en México</t>
    </r>
  </si>
  <si>
    <t>Tabasco</t>
  </si>
  <si>
    <t>División Académica de Ciencias Biológicas</t>
  </si>
  <si>
    <t>Chocó</t>
  </si>
  <si>
    <t>San José del Palmar, Alto del Oso</t>
  </si>
  <si>
    <t>(Schinz, 1821)</t>
  </si>
  <si>
    <t>Dos registros de murcielagos albinos para Venezuela</t>
  </si>
  <si>
    <t>Biollania</t>
  </si>
  <si>
    <t>Trujillo</t>
  </si>
  <si>
    <t>Boconó, Macizo de Guaramacal</t>
  </si>
  <si>
    <t>Florença, Centro de Investigaciones Macagual CORPOICA</t>
  </si>
  <si>
    <t>Guapi, Parque Nacional Natural Gorgona</t>
  </si>
  <si>
    <t>Santiago de Cali, Río Pance</t>
  </si>
  <si>
    <t>A review of the bats of Trinidad and Tobago. Descriptions, rabies infections, and ecology</t>
  </si>
  <si>
    <t>Bulletin of the American Museum of Natural History</t>
  </si>
  <si>
    <t>Tunapuna-Piarco</t>
  </si>
  <si>
    <t>Arima Ward, Heights of Guanapo</t>
  </si>
  <si>
    <r>
      <t xml:space="preserve">First record of partial albinism (leucism) in </t>
    </r>
    <r>
      <rPr>
        <i/>
        <sz val="8"/>
        <color theme="1"/>
        <rFont val="Calibri"/>
        <family val="2"/>
        <scheme val="minor"/>
      </rPr>
      <t>Carollia perspicillata</t>
    </r>
    <r>
      <rPr>
        <sz val="8"/>
        <color theme="1"/>
        <rFont val="Calibri"/>
        <family val="2"/>
        <scheme val="minor"/>
      </rPr>
      <t xml:space="preserve"> (Phyllostomidae) in Ecuador</t>
    </r>
  </si>
  <si>
    <t>Esmeraldas</t>
  </si>
  <si>
    <t>Estero Inés</t>
  </si>
  <si>
    <r>
      <t xml:space="preserve">Leucism in Seba's short-tailed bat, </t>
    </r>
    <r>
      <rPr>
        <i/>
        <sz val="8"/>
        <color theme="1"/>
        <rFont val="Calibri"/>
        <family val="2"/>
        <scheme val="minor"/>
      </rPr>
      <t>Carollia perspicillata</t>
    </r>
    <r>
      <rPr>
        <sz val="8"/>
        <color theme="1"/>
        <rFont val="Calibri"/>
        <family val="2"/>
        <scheme val="minor"/>
      </rPr>
      <t xml:space="preserve"> (Linnaeus, 1758), from a rock shelter in northeastern Brazil</t>
    </r>
  </si>
  <si>
    <t>Sergipe</t>
  </si>
  <si>
    <t>Laranjeiras, Machado, Gruta da Janela (SE-013)</t>
  </si>
  <si>
    <r>
      <t xml:space="preserve">First record of complete albinism in </t>
    </r>
    <r>
      <rPr>
        <i/>
        <sz val="8"/>
        <color theme="1"/>
        <rFont val="Calibri"/>
        <family val="2"/>
        <scheme val="minor"/>
      </rPr>
      <t>Carollia perspicillata</t>
    </r>
    <r>
      <rPr>
        <sz val="8"/>
        <color theme="1"/>
        <rFont val="Calibri"/>
        <family val="2"/>
        <scheme val="minor"/>
      </rPr>
      <t xml:space="preserve"> (Chiroptera; Phyllostomidae)</t>
    </r>
  </si>
  <si>
    <t>CMARF</t>
  </si>
  <si>
    <t>Bahia</t>
  </si>
  <si>
    <t>Igaporã</t>
  </si>
  <si>
    <t>Scrotal Testes</t>
  </si>
  <si>
    <t>Chiapas</t>
  </si>
  <si>
    <t>Ocozocoautla de Espinoza, Encanojado, Reserva de la Biosfera Selva El Ocote</t>
  </si>
  <si>
    <t>Registros de albinismo parcial en tres especies de murciélagos filostómidos (Chiroptera: Phyllostomidae) en Chiapas, México</t>
  </si>
  <si>
    <t>Peters, 1865</t>
  </si>
  <si>
    <t>Charles-Dominique et al 2001</t>
  </si>
  <si>
    <t>Atlas des chauves-souris de Guyane</t>
  </si>
  <si>
    <t>French Guiana</t>
  </si>
  <si>
    <t>Munibe (Ciencias Naturales)</t>
  </si>
  <si>
    <r>
      <rPr>
        <i/>
        <sz val="8"/>
        <color theme="1"/>
        <rFont val="Calibri"/>
        <family val="2"/>
        <scheme val="minor"/>
      </rPr>
      <t>Myotis alcathoe</t>
    </r>
    <r>
      <rPr>
        <sz val="8"/>
        <color theme="1"/>
        <rFont val="Calibri"/>
        <family val="2"/>
        <scheme val="minor"/>
      </rPr>
      <t xml:space="preserve"> Helversen &amp; Heller, 2001 y </t>
    </r>
    <r>
      <rPr>
        <i/>
        <sz val="8"/>
        <color theme="1"/>
        <rFont val="Calibri"/>
        <family val="2"/>
        <scheme val="minor"/>
      </rPr>
      <t>Pipistrellus pygmaeus</t>
    </r>
    <r>
      <rPr>
        <sz val="8"/>
        <color theme="1"/>
        <rFont val="Calibri"/>
        <family val="2"/>
        <scheme val="minor"/>
      </rPr>
      <t xml:space="preserve"> (Leach, 1825), nuevas especies de quirópteros para Navarra</t>
    </r>
  </si>
  <si>
    <t>(Leach, 1825)</t>
  </si>
  <si>
    <t>Spain</t>
  </si>
  <si>
    <t>Navarra</t>
  </si>
  <si>
    <t>Lodosa, álamos</t>
  </si>
  <si>
    <t>1-2</t>
  </si>
  <si>
    <r>
      <t xml:space="preserve">Primer caso de albinismo total para </t>
    </r>
    <r>
      <rPr>
        <i/>
        <sz val="8"/>
        <color theme="1"/>
        <rFont val="Calibri"/>
        <family val="2"/>
        <scheme val="minor"/>
      </rPr>
      <t>Sturnira erythromos</t>
    </r>
    <r>
      <rPr>
        <sz val="8"/>
        <color theme="1"/>
        <rFont val="Calibri"/>
        <family val="2"/>
        <scheme val="minor"/>
      </rPr>
      <t xml:space="preserve"> (Tschudi, 1844) - (Chiroptera-Phyllostomidae)</t>
    </r>
  </si>
  <si>
    <t>CML</t>
  </si>
  <si>
    <t>Jujuy</t>
  </si>
  <si>
    <t>Arroyo Sauzalito, Parque Nacional Calilegua</t>
  </si>
  <si>
    <t>Salta</t>
  </si>
  <si>
    <t>Río Las Conchas, 5.7 km W Metán</t>
  </si>
  <si>
    <t>Lutra</t>
  </si>
  <si>
    <r>
      <t xml:space="preserve">First record of an albino long-eared bat </t>
    </r>
    <r>
      <rPr>
        <i/>
        <sz val="8"/>
        <color theme="1"/>
        <rFont val="Calibri"/>
        <family val="2"/>
        <scheme val="minor"/>
      </rPr>
      <t>Plecotus auritus</t>
    </r>
    <r>
      <rPr>
        <sz val="8"/>
        <color theme="1"/>
        <rFont val="Calibri"/>
        <family val="2"/>
        <scheme val="minor"/>
      </rPr>
      <t xml:space="preserve"> in The Netherlands</t>
    </r>
  </si>
  <si>
    <t>Bekker 1989</t>
  </si>
  <si>
    <r>
      <t xml:space="preserve">Oorafwijkingen bij een Watervleermuis </t>
    </r>
    <r>
      <rPr>
        <i/>
        <sz val="8"/>
        <color theme="1"/>
        <rFont val="Calibri"/>
        <family val="2"/>
        <scheme val="minor"/>
      </rPr>
      <t>Myotis daubentonii</t>
    </r>
  </si>
  <si>
    <t>Netherlands</t>
  </si>
  <si>
    <t>Northwestern Naturalist</t>
  </si>
  <si>
    <r>
      <t>Aberrant coloration in a little brown bat (</t>
    </r>
    <r>
      <rPr>
        <i/>
        <sz val="8"/>
        <color theme="1"/>
        <rFont val="Calibri"/>
        <family val="2"/>
        <scheme val="minor"/>
      </rPr>
      <t>Myotis lucifugus</t>
    </r>
    <r>
      <rPr>
        <sz val="8"/>
        <color theme="1"/>
        <rFont val="Calibri"/>
        <family val="2"/>
        <scheme val="minor"/>
      </rPr>
      <t>) from the Yukon</t>
    </r>
  </si>
  <si>
    <t>Brigham &amp; James 1993</t>
  </si>
  <si>
    <t>Blue Jay</t>
  </si>
  <si>
    <r>
      <t xml:space="preserve">A true albino little brown bat, </t>
    </r>
    <r>
      <rPr>
        <i/>
        <sz val="8"/>
        <color theme="1"/>
        <rFont val="Calibri"/>
        <family val="2"/>
        <scheme val="minor"/>
      </rPr>
      <t>Myotis lucifugus</t>
    </r>
    <r>
      <rPr>
        <sz val="8"/>
        <color theme="1"/>
        <rFont val="Calibri"/>
        <family val="2"/>
        <scheme val="minor"/>
      </rPr>
      <t>, from Saskatchewan</t>
    </r>
  </si>
  <si>
    <t>Canada</t>
  </si>
  <si>
    <t>Saskatchewan</t>
  </si>
  <si>
    <t>Van Laar 1994</t>
  </si>
  <si>
    <r>
      <t xml:space="preserve">Partieel albinisme bij een Baardvleermuis </t>
    </r>
    <r>
      <rPr>
        <i/>
        <sz val="8"/>
        <color theme="1"/>
        <rFont val="Calibri"/>
        <family val="2"/>
        <scheme val="minor"/>
      </rPr>
      <t>Myotis mystacinus</t>
    </r>
  </si>
  <si>
    <t>Denmark</t>
  </si>
  <si>
    <t>Poland</t>
  </si>
  <si>
    <t>Haensel 1968</t>
  </si>
  <si>
    <t>Milu</t>
  </si>
  <si>
    <r>
      <t>Fund einer partiell-albinotischen Wasserfledermaus (</t>
    </r>
    <r>
      <rPr>
        <i/>
        <sz val="8"/>
        <color theme="1"/>
        <rFont val="Calibri"/>
        <family val="2"/>
        <scheme val="minor"/>
      </rPr>
      <t>Myotis daubentoni</t>
    </r>
    <r>
      <rPr>
        <sz val="8"/>
        <color theme="1"/>
        <rFont val="Calibri"/>
        <family val="2"/>
        <scheme val="minor"/>
      </rPr>
      <t>) in den Rüdersdorfer Kalkstollen</t>
    </r>
  </si>
  <si>
    <t>Bures 1948</t>
  </si>
  <si>
    <t>Mammals of a limited area in Maryland</t>
  </si>
  <si>
    <t>Maryland Naturalist</t>
  </si>
  <si>
    <r>
      <t xml:space="preserve">Hypopigmentation in vespertilionid bats: the first record of a leucistic soprano pipistrelle </t>
    </r>
    <r>
      <rPr>
        <i/>
        <sz val="8"/>
        <color theme="1"/>
        <rFont val="Calibri"/>
        <family val="2"/>
        <scheme val="minor"/>
      </rPr>
      <t>Pipistrellus pygmaeus</t>
    </r>
  </si>
  <si>
    <t>United States</t>
  </si>
  <si>
    <t>Ohio</t>
  </si>
  <si>
    <t>Limburg</t>
  </si>
  <si>
    <t>Nunhem</t>
  </si>
  <si>
    <t>Friesland</t>
  </si>
  <si>
    <t>Kollum</t>
  </si>
  <si>
    <t>Notes on the occurrence of morphological and color aberrations in bats from Oklahoma, Missouri, and Mexico</t>
  </si>
  <si>
    <t>Proceedings of the Oklahoma Academy of Science</t>
  </si>
  <si>
    <t>Sonora</t>
  </si>
  <si>
    <t>Yécora</t>
  </si>
  <si>
    <t>Missouri</t>
  </si>
  <si>
    <t>Oklahoma</t>
  </si>
  <si>
    <t>Washington, Meramec Lake Area</t>
  </si>
  <si>
    <t>Woodward County, Selman Cave</t>
  </si>
  <si>
    <t>Cerveny 1980</t>
  </si>
  <si>
    <t>Abnormal coloration in bats (Chiroptera) of Czechoslovakia</t>
  </si>
  <si>
    <t>First record of complete albinism in a vespertilionid bat (Chiroptera: Vespertilionidae) in Slovakia</t>
  </si>
  <si>
    <t>Lynx</t>
  </si>
  <si>
    <t>Córdoba</t>
  </si>
  <si>
    <t>Canalete, Chimborazo</t>
  </si>
  <si>
    <t>Tierralta, Pasacaballos</t>
  </si>
  <si>
    <t>Coloration anormale chez un minioptère de Schreibers</t>
  </si>
  <si>
    <t>Miniopterus schreibersii</t>
  </si>
  <si>
    <t>France</t>
  </si>
  <si>
    <t>Bouches-du-Rhône</t>
  </si>
  <si>
    <t>Grotte de la Davouste, near Pont Mirabeau</t>
  </si>
  <si>
    <t>Dulic &amp; Mikuska 1968</t>
  </si>
  <si>
    <t>Säugetierkdll. Mitt.</t>
  </si>
  <si>
    <r>
      <t xml:space="preserve">Ein weiber abendsegler, </t>
    </r>
    <r>
      <rPr>
        <i/>
        <sz val="8"/>
        <color theme="1"/>
        <rFont val="Calibri"/>
        <family val="2"/>
        <scheme val="minor"/>
      </rPr>
      <t>Nyctalus noctula</t>
    </r>
    <r>
      <rPr>
        <sz val="8"/>
        <color theme="1"/>
        <rFont val="Calibri"/>
        <family val="2"/>
        <scheme val="minor"/>
      </rPr>
      <t xml:space="preserve"> (Schreber., 1774)</t>
    </r>
  </si>
  <si>
    <t>Travaux du Muséum National d’Histoire Naturelle</t>
  </si>
  <si>
    <r>
      <t xml:space="preserve">Partial albinism in noctule bat - </t>
    </r>
    <r>
      <rPr>
        <i/>
        <sz val="8"/>
        <color theme="1"/>
        <rFont val="Calibri"/>
        <family val="2"/>
        <scheme val="minor"/>
      </rPr>
      <t>Nyctalus noctula</t>
    </r>
    <r>
      <rPr>
        <sz val="8"/>
        <color theme="1"/>
        <rFont val="Calibri"/>
        <family val="2"/>
        <scheme val="minor"/>
      </rPr>
      <t xml:space="preserve"> (Schreiber, 1774) (Mammalia: Chiroptera) from Romania</t>
    </r>
  </si>
  <si>
    <t>Croatia</t>
  </si>
  <si>
    <t>Zagreb</t>
  </si>
  <si>
    <t>near Zagreb</t>
  </si>
  <si>
    <t>An aberrant evening bat</t>
  </si>
  <si>
    <t>The Southwestern Naturalist</t>
  </si>
  <si>
    <t>Worth County, near Parnell</t>
  </si>
  <si>
    <t>Gaisler &amp; Pokorný 2002</t>
  </si>
  <si>
    <r>
      <t>Second case of a partial albinism in the noctule bat (</t>
    </r>
    <r>
      <rPr>
        <i/>
        <sz val="8"/>
        <color theme="1"/>
        <rFont val="Calibri"/>
        <family val="2"/>
        <scheme val="minor"/>
      </rPr>
      <t>Nyctalus noctula</t>
    </r>
    <r>
      <rPr>
        <sz val="8"/>
        <color theme="1"/>
        <rFont val="Calibri"/>
        <family val="2"/>
        <scheme val="minor"/>
      </rPr>
      <t>)</t>
    </r>
  </si>
  <si>
    <t>Izvestija Penzenskogo Gosudarstvennogo Pedagogicheskogo Universiteta imeni Belinskogo (Yestestvennyye nauky)</t>
  </si>
  <si>
    <r>
      <t xml:space="preserve">О случаях находок частичных альбинсов </t>
    </r>
    <r>
      <rPr>
        <i/>
        <sz val="8"/>
        <color theme="1"/>
        <rFont val="Calibri"/>
        <family val="2"/>
        <scheme val="minor"/>
      </rPr>
      <t>Eptesicus serotinus</t>
    </r>
    <r>
      <rPr>
        <sz val="8"/>
        <color theme="1"/>
        <rFont val="Calibri"/>
        <family val="2"/>
        <scheme val="minor"/>
      </rPr>
      <t xml:space="preserve"> и </t>
    </r>
    <r>
      <rPr>
        <i/>
        <sz val="8"/>
        <color theme="1"/>
        <rFont val="Calibri"/>
        <family val="2"/>
        <scheme val="minor"/>
      </rPr>
      <t>Pipistrellus nathusii</t>
    </r>
    <r>
      <rPr>
        <sz val="8"/>
        <color theme="1"/>
        <rFont val="Calibri"/>
        <family val="2"/>
        <scheme val="minor"/>
      </rPr>
      <t xml:space="preserve"> (Chiroptera: Mammalia) на востоке Европейской России [About finds of </t>
    </r>
    <r>
      <rPr>
        <i/>
        <sz val="8"/>
        <color theme="1"/>
        <rFont val="Calibri"/>
        <family val="2"/>
        <scheme val="minor"/>
      </rPr>
      <t>Eptesicus serotinus</t>
    </r>
    <r>
      <rPr>
        <sz val="8"/>
        <color theme="1"/>
        <rFont val="Calibri"/>
        <family val="2"/>
        <scheme val="minor"/>
      </rPr>
      <t xml:space="preserve"> and </t>
    </r>
    <r>
      <rPr>
        <i/>
        <sz val="8"/>
        <color theme="1"/>
        <rFont val="Calibri"/>
        <family val="2"/>
        <scheme val="minor"/>
      </rPr>
      <t>Pipistrellus nathusii</t>
    </r>
    <r>
      <rPr>
        <sz val="8"/>
        <color theme="1"/>
        <rFont val="Calibri"/>
        <family val="2"/>
        <scheme val="minor"/>
      </rPr>
      <t xml:space="preserve"> (Chiroptera:Mammalia) incomplete albinos in the east of European Russia]</t>
    </r>
  </si>
  <si>
    <r>
      <t xml:space="preserve">Registro de leucismo en </t>
    </r>
    <r>
      <rPr>
        <i/>
        <sz val="8"/>
        <color theme="1"/>
        <rFont val="Calibri"/>
        <family val="2"/>
        <scheme val="minor"/>
      </rPr>
      <t>Sturnira ludovici</t>
    </r>
    <r>
      <rPr>
        <sz val="8"/>
        <color theme="1"/>
        <rFont val="Calibri"/>
        <family val="2"/>
        <scheme val="minor"/>
      </rPr>
      <t xml:space="preserve"> y </t>
    </r>
    <r>
      <rPr>
        <i/>
        <sz val="8"/>
        <color theme="1"/>
        <rFont val="Calibri"/>
        <family val="2"/>
        <scheme val="minor"/>
      </rPr>
      <t>Artibeus jamaicensis</t>
    </r>
    <r>
      <rPr>
        <sz val="8"/>
        <color theme="1"/>
        <rFont val="Calibri"/>
        <family val="2"/>
        <scheme val="minor"/>
      </rPr>
      <t xml:space="preserve"> (Phyllostomidae) en México</t>
    </r>
  </si>
  <si>
    <t>Hidalgo</t>
  </si>
  <si>
    <t>San Felipe Orizatlán, Generales Azuara</t>
  </si>
  <si>
    <t>Yahualica, Zoquitipan</t>
  </si>
  <si>
    <r>
      <t>Leucism in the giant fruit-eating bat (</t>
    </r>
    <r>
      <rPr>
        <i/>
        <sz val="8"/>
        <color theme="1"/>
        <rFont val="Calibri"/>
        <family val="2"/>
        <scheme val="minor"/>
      </rPr>
      <t>Artibeus lituratus</t>
    </r>
    <r>
      <rPr>
        <sz val="8"/>
        <color theme="1"/>
        <rFont val="Calibri"/>
        <family val="2"/>
        <scheme val="minor"/>
      </rPr>
      <t xml:space="preserve"> Olfers, 1818) in the state of Hidalgo, Mexico</t>
    </r>
  </si>
  <si>
    <r>
      <t xml:space="preserve">Registro de albinismo parcial em </t>
    </r>
    <r>
      <rPr>
        <i/>
        <sz val="8"/>
        <color theme="1"/>
        <rFont val="Calibri"/>
        <family val="2"/>
        <scheme val="minor"/>
      </rPr>
      <t>Nyctinomops laticaudatus</t>
    </r>
    <r>
      <rPr>
        <sz val="8"/>
        <color theme="1"/>
        <rFont val="Calibri"/>
        <family val="2"/>
        <scheme val="minor"/>
      </rPr>
      <t xml:space="preserve"> (E. Geoffroy, 1805) (Chiroptera: Molossidae) no sul do Brasil</t>
    </r>
  </si>
  <si>
    <t>Rio Grande do Sul</t>
  </si>
  <si>
    <t>Vale do Sol, Alto Formosa</t>
  </si>
  <si>
    <t>American Midland Naturalist</t>
  </si>
  <si>
    <r>
      <t xml:space="preserve">Aberrant coloration in </t>
    </r>
    <r>
      <rPr>
        <i/>
        <sz val="8"/>
        <color theme="1"/>
        <rFont val="Calibri"/>
        <family val="2"/>
        <scheme val="minor"/>
      </rPr>
      <t>Tadarida Mexicana</t>
    </r>
  </si>
  <si>
    <t>Major County, Ewers Creek</t>
  </si>
  <si>
    <t>Northern Woodward County, near Bear Creek</t>
  </si>
  <si>
    <t>A bat with white wing tips</t>
  </si>
  <si>
    <t>Seneca County, Good's Cave [= Seneca Caverns]</t>
  </si>
  <si>
    <t>Contribución a la Mamalogia Cubana</t>
  </si>
  <si>
    <t>Cuba</t>
  </si>
  <si>
    <t>Notes on the mammals of Breathitt County, Kentucky</t>
  </si>
  <si>
    <t>Myotis lucifugus lucifugus</t>
  </si>
  <si>
    <t>Kentucky</t>
  </si>
  <si>
    <t>Breathitt County, Quicksand</t>
  </si>
  <si>
    <r>
      <t xml:space="preserve">Albinism in the japanese large-footed bat </t>
    </r>
    <r>
      <rPr>
        <i/>
        <sz val="8"/>
        <color theme="1"/>
        <rFont val="Calibri"/>
        <family val="2"/>
        <scheme val="minor"/>
      </rPr>
      <t>Myotis macrodactylus</t>
    </r>
  </si>
  <si>
    <t>Yamagata</t>
  </si>
  <si>
    <t>Tsuruoka, Sanze</t>
  </si>
  <si>
    <r>
      <t xml:space="preserve">Albinism in the bat, </t>
    </r>
    <r>
      <rPr>
        <i/>
        <sz val="8"/>
        <color theme="1"/>
        <rFont val="Calibri"/>
        <family val="2"/>
        <scheme val="minor"/>
      </rPr>
      <t>Molossus fortis</t>
    </r>
  </si>
  <si>
    <t>Molossus fortis</t>
  </si>
  <si>
    <t>UPRRP</t>
  </si>
  <si>
    <t>Puerto Rico</t>
  </si>
  <si>
    <t>Loíza</t>
  </si>
  <si>
    <t>Canovanas</t>
  </si>
  <si>
    <t>Utuado</t>
  </si>
  <si>
    <t>Tapachula, Cabildo, Zona Sujeta a Conservación Ecológica El Cabido-Amatal</t>
  </si>
  <si>
    <t>Arriaga, Reserva de la Biosfera La Sepultura</t>
  </si>
  <si>
    <t>Frequency and placement of white fur on free-tailed bats</t>
  </si>
  <si>
    <t>Mexican free-tailed bat</t>
  </si>
  <si>
    <t>Texas</t>
  </si>
  <si>
    <t>Mason County, James River Cave</t>
  </si>
  <si>
    <t>Macroderma</t>
  </si>
  <si>
    <r>
      <t xml:space="preserve">Partial albino </t>
    </r>
    <r>
      <rPr>
        <i/>
        <sz val="8"/>
        <color theme="1"/>
        <rFont val="Calibri"/>
        <family val="2"/>
        <scheme val="minor"/>
      </rPr>
      <t>Mormopterus planiceps</t>
    </r>
    <r>
      <rPr>
        <sz val="8"/>
        <color theme="1"/>
        <rFont val="Calibri"/>
        <family val="2"/>
        <scheme val="minor"/>
      </rPr>
      <t xml:space="preserve"> (Molossidae)</t>
    </r>
  </si>
  <si>
    <t>Victoria</t>
  </si>
  <si>
    <t>Strathfieldsaye</t>
  </si>
  <si>
    <t>Chang Hua</t>
  </si>
  <si>
    <t>Ul Shoei</t>
  </si>
  <si>
    <r>
      <t xml:space="preserve">Leucismo en </t>
    </r>
    <r>
      <rPr>
        <i/>
        <sz val="8"/>
        <color theme="1"/>
        <rFont val="Calibri"/>
        <family val="2"/>
        <scheme val="minor"/>
      </rPr>
      <t>Eptesicus furinalis</t>
    </r>
    <r>
      <rPr>
        <sz val="8"/>
        <color theme="1"/>
        <rFont val="Calibri"/>
        <family val="2"/>
        <scheme val="minor"/>
      </rPr>
      <t xml:space="preserve"> (d'Orbigny y Gervais, 1847) (Chiroptera: Vespertilionidae) en la provincia de Corrientes, Argentina</t>
    </r>
  </si>
  <si>
    <t>Laguna Iberá</t>
  </si>
  <si>
    <t>Saitama</t>
  </si>
  <si>
    <t>Konosu</t>
  </si>
  <si>
    <t>Klatovy</t>
  </si>
  <si>
    <t>Červené Poříčí</t>
  </si>
  <si>
    <t>Banská Bystrica</t>
  </si>
  <si>
    <t>Hrusov</t>
  </si>
  <si>
    <t>Catalonia</t>
  </si>
  <si>
    <t>Buda Island, Ebro Delta Natural Park Biological Station</t>
  </si>
  <si>
    <r>
      <t xml:space="preserve">A noteworthy case of leucism in </t>
    </r>
    <r>
      <rPr>
        <i/>
        <sz val="8"/>
        <color theme="1"/>
        <rFont val="Calibri"/>
        <family val="2"/>
        <scheme val="minor"/>
      </rPr>
      <t>Artibeus lituratus</t>
    </r>
    <r>
      <rPr>
        <sz val="8"/>
        <color theme="1"/>
        <rFont val="Calibri"/>
        <family val="2"/>
        <scheme val="minor"/>
      </rPr>
      <t xml:space="preserve"> (Chiroptera: Phyllostomidae) from Oaxaca, Mexico</t>
    </r>
  </si>
  <si>
    <t>Oaxaca</t>
  </si>
  <si>
    <t>La Montañita, 7 km NE Santo Domingo Zanatepec</t>
  </si>
  <si>
    <t>Zoological Research</t>
  </si>
  <si>
    <r>
      <t xml:space="preserve">A partial albino bat of </t>
    </r>
    <r>
      <rPr>
        <i/>
        <sz val="8"/>
        <color theme="1"/>
        <rFont val="Calibri"/>
        <family val="2"/>
        <scheme val="minor"/>
      </rPr>
      <t>Miniopterus magnater</t>
    </r>
    <r>
      <rPr>
        <sz val="8"/>
        <color theme="1"/>
        <rFont val="Calibri"/>
        <family val="2"/>
        <scheme val="minor"/>
      </rPr>
      <t xml:space="preserve"> found in Anhui, China</t>
    </r>
  </si>
  <si>
    <t>Anhui</t>
  </si>
  <si>
    <t>Jinzhai County, mine cave</t>
  </si>
  <si>
    <t>Investigación, Biodiversidad y Desarrollo</t>
  </si>
  <si>
    <r>
      <t xml:space="preserve">First case of albinism in </t>
    </r>
    <r>
      <rPr>
        <i/>
        <sz val="8"/>
        <color theme="1"/>
        <rFont val="Calibri"/>
        <family val="2"/>
        <scheme val="minor"/>
      </rPr>
      <t>Uroderma bilobatum</t>
    </r>
    <r>
      <rPr>
        <sz val="8"/>
        <color theme="1"/>
        <rFont val="Calibri"/>
        <family val="2"/>
        <scheme val="minor"/>
      </rPr>
      <t xml:space="preserve"> and its implications in the evolution of coat color patterns among vampyressine bats</t>
    </r>
  </si>
  <si>
    <t>Uroderma bilobatum convexum</t>
  </si>
  <si>
    <t>ICN</t>
  </si>
  <si>
    <t>Magdalena</t>
  </si>
  <si>
    <t>Salamanca Island, Cangarú</t>
  </si>
  <si>
    <t>San Andrés, Providencia and Santa Catalina</t>
  </si>
  <si>
    <t>Santa Catalina Island</t>
  </si>
  <si>
    <t>Curillo</t>
  </si>
  <si>
    <t>Matis &amp; Pjencak 1998</t>
  </si>
  <si>
    <t>Natura Carpatica</t>
  </si>
  <si>
    <r>
      <t>Nález èiastoène albinotických ucháèov svetlých (</t>
    </r>
    <r>
      <rPr>
        <i/>
        <sz val="8"/>
        <color theme="1"/>
        <rFont val="Calibri"/>
        <family val="2"/>
        <scheme val="minor"/>
      </rPr>
      <t>Plecotus auritus</t>
    </r>
    <r>
      <rPr>
        <sz val="8"/>
        <color theme="1"/>
        <rFont val="Calibri"/>
        <family val="2"/>
        <scheme val="minor"/>
      </rPr>
      <t>)</t>
    </r>
  </si>
  <si>
    <r>
      <t xml:space="preserve">Albinism in </t>
    </r>
    <r>
      <rPr>
        <i/>
        <sz val="8"/>
        <color theme="1"/>
        <rFont val="Calibri"/>
        <family val="2"/>
        <scheme val="minor"/>
      </rPr>
      <t>Tadarida</t>
    </r>
  </si>
  <si>
    <t>OSU</t>
  </si>
  <si>
    <t>Greer County, Reed Cave</t>
  </si>
  <si>
    <t>Woods County, Merrihew Cave</t>
  </si>
  <si>
    <t>Oklahoma HomeTownLocator</t>
  </si>
  <si>
    <r>
      <t xml:space="preserve">Primer registro de leucismo en </t>
    </r>
    <r>
      <rPr>
        <i/>
        <sz val="8"/>
        <color theme="1"/>
        <rFont val="Calibri"/>
        <family val="2"/>
        <scheme val="minor"/>
      </rPr>
      <t>Sturnira lilium</t>
    </r>
    <r>
      <rPr>
        <sz val="8"/>
        <color theme="1"/>
        <rFont val="Calibri"/>
        <family val="2"/>
        <scheme val="minor"/>
      </rPr>
      <t xml:space="preserve"> (Phyllostomidae) en el sureste del Perú</t>
    </r>
  </si>
  <si>
    <t>Madre de Dios</t>
  </si>
  <si>
    <t>Río Loboyoc</t>
  </si>
  <si>
    <r>
      <t xml:space="preserve">Partial albinism in </t>
    </r>
    <r>
      <rPr>
        <i/>
        <sz val="8"/>
        <color theme="1"/>
        <rFont val="Calibri"/>
        <family val="2"/>
        <scheme val="minor"/>
      </rPr>
      <t>Myotis sodalis</t>
    </r>
  </si>
  <si>
    <t>Carter County, Carter Caves State Park, Bat Cave</t>
  </si>
  <si>
    <r>
      <t xml:space="preserve">Primeiros dados de uma colônia reprodutiva de </t>
    </r>
    <r>
      <rPr>
        <i/>
        <sz val="8"/>
        <color theme="1"/>
        <rFont val="Calibri"/>
        <family val="2"/>
        <scheme val="minor"/>
      </rPr>
      <t>Myotis levis</t>
    </r>
    <r>
      <rPr>
        <sz val="8"/>
        <color theme="1"/>
        <rFont val="Calibri"/>
        <family val="2"/>
        <scheme val="minor"/>
      </rPr>
      <t xml:space="preserve"> (I. Geoffroy, 1824) nos campos de Palmas, Paraná, Brasil (Vespertilionidae)</t>
    </r>
  </si>
  <si>
    <t>Palmas, Fazenda São João da Chapada</t>
  </si>
  <si>
    <t>Aberrant white fur in the pocketed free-tailed bat</t>
  </si>
  <si>
    <t>Arizona</t>
  </si>
  <si>
    <t>Pima County, E flank S end Baboquivari Mountains, 8 miles NW Sasabe</t>
  </si>
  <si>
    <r>
      <t xml:space="preserve">First record of leucism in the giant fruit-eating bat, </t>
    </r>
    <r>
      <rPr>
        <i/>
        <sz val="8"/>
        <color theme="1"/>
        <rFont val="Calibri"/>
        <family val="2"/>
        <scheme val="minor"/>
      </rPr>
      <t>Artibeus amplus</t>
    </r>
    <r>
      <rPr>
        <sz val="8"/>
        <color theme="1"/>
        <rFont val="Calibri"/>
        <family val="2"/>
        <scheme val="minor"/>
      </rPr>
      <t xml:space="preserve"> (Chiroptera: Phyllostomidae)</t>
    </r>
  </si>
  <si>
    <t>Táchira</t>
  </si>
  <si>
    <t>Uribante, Pregonero, Parque Las Escaleras</t>
  </si>
  <si>
    <t>Romania</t>
  </si>
  <si>
    <t>Vrancea</t>
  </si>
  <si>
    <t>Soveja</t>
  </si>
  <si>
    <r>
      <t xml:space="preserve">An example of partial albinism in the japanese long-fingered bat, </t>
    </r>
    <r>
      <rPr>
        <i/>
        <sz val="8"/>
        <color theme="1"/>
        <rFont val="Calibri"/>
        <family val="2"/>
        <scheme val="minor"/>
      </rPr>
      <t>Minioterus schrebersi fuliginosus</t>
    </r>
  </si>
  <si>
    <t>Akita</t>
  </si>
  <si>
    <t>Oga, Mozen</t>
  </si>
  <si>
    <r>
      <t xml:space="preserve">Primer reporte de leucismo en </t>
    </r>
    <r>
      <rPr>
        <i/>
        <sz val="8"/>
        <color theme="1"/>
        <rFont val="Calibri"/>
        <family val="2"/>
        <scheme val="minor"/>
      </rPr>
      <t>Artibeus lituratus</t>
    </r>
    <r>
      <rPr>
        <sz val="8"/>
        <color theme="1"/>
        <rFont val="Calibri"/>
        <family val="2"/>
        <scheme val="minor"/>
      </rPr>
      <t xml:space="preserve"> (Olfers, 1818) (Phyllostomidae: Stenodermatinae) en el Caribe colombiano</t>
    </r>
  </si>
  <si>
    <t>Parque Nacional Natural Tayrona</t>
  </si>
  <si>
    <t>A new case of complete albinism in a bat from Brazil</t>
  </si>
  <si>
    <t>Artibeus cinereus</t>
  </si>
  <si>
    <t>CMEC</t>
  </si>
  <si>
    <t>Distrito Federal</t>
  </si>
  <si>
    <t>Planaltina, Estação Ecológica Águas Emendadas</t>
  </si>
  <si>
    <t>Observaciones sobre los murciélagos (Mammalia, Chiroptera) de la provincia de Santa Fe, Argentina</t>
  </si>
  <si>
    <t>Natura Neotropicalis</t>
  </si>
  <si>
    <t>MFA</t>
  </si>
  <si>
    <t>Santa Fé</t>
  </si>
  <si>
    <t>Las Colonias, Esperanza</t>
  </si>
  <si>
    <r>
      <t xml:space="preserve">Albinism in </t>
    </r>
    <r>
      <rPr>
        <i/>
        <sz val="8"/>
        <color theme="1"/>
        <rFont val="Calibri"/>
        <family val="2"/>
        <scheme val="minor"/>
      </rPr>
      <t>Artibeus intermedius</t>
    </r>
  </si>
  <si>
    <t>Artibeus intermedius</t>
  </si>
  <si>
    <t>ECO</t>
  </si>
  <si>
    <t>CH-M0996</t>
  </si>
  <si>
    <t>Quintana Roo</t>
  </si>
  <si>
    <t>Baca Paila, Biosphere Reserve of Sian Ka'an</t>
  </si>
  <si>
    <t>An account of a visit to the birds'-nest caves of British North Borneo</t>
  </si>
  <si>
    <t>Proceedings of the Zoological Society of London</t>
  </si>
  <si>
    <t>Nyctinomus plicatus</t>
  </si>
  <si>
    <t>Malaysia</t>
  </si>
  <si>
    <t>Sabah</t>
  </si>
  <si>
    <t>Borneo, Sandakan [= North British Borneo, Elopura]</t>
  </si>
  <si>
    <t>An albino molossid bat from the southwestern Indian Ocean region</t>
  </si>
  <si>
    <t>Malagasy Nature</t>
  </si>
  <si>
    <t>Saint-Paul</t>
  </si>
  <si>
    <t>Trois Bassins</t>
  </si>
  <si>
    <t>Réunion</t>
  </si>
  <si>
    <r>
      <t xml:space="preserve">First record of albinism in the black mastiff bat </t>
    </r>
    <r>
      <rPr>
        <i/>
        <sz val="8"/>
        <color theme="1"/>
        <rFont val="Calibri"/>
        <family val="2"/>
        <scheme val="minor"/>
      </rPr>
      <t>Molossus rufus</t>
    </r>
    <r>
      <rPr>
        <sz val="8"/>
        <color theme="1"/>
        <rFont val="Calibri"/>
        <family val="2"/>
        <scheme val="minor"/>
      </rPr>
      <t xml:space="preserve"> E. Geoffroy, 1805</t>
    </r>
  </si>
  <si>
    <t>Loreto</t>
  </si>
  <si>
    <t>Iquitos, Maynas, Hospital César Garayar García</t>
  </si>
  <si>
    <t>Mammalian Species</t>
  </si>
  <si>
    <r>
      <t xml:space="preserve">Aberrant coloration in </t>
    </r>
    <r>
      <rPr>
        <i/>
        <sz val="8"/>
        <color theme="1"/>
        <rFont val="Calibri"/>
        <family val="2"/>
        <scheme val="minor"/>
      </rPr>
      <t>Myotis velifer incautus</t>
    </r>
  </si>
  <si>
    <t>Major County, Indian Meridian, Vickery II Cave</t>
  </si>
  <si>
    <r>
      <t xml:space="preserve">First record of albinism in </t>
    </r>
    <r>
      <rPr>
        <i/>
        <sz val="8"/>
        <color theme="1"/>
        <rFont val="Calibri"/>
        <family val="2"/>
        <scheme val="minor"/>
      </rPr>
      <t>Tadarida brasiliensis</t>
    </r>
    <r>
      <rPr>
        <sz val="8"/>
        <color theme="1"/>
        <rFont val="Calibri"/>
        <family val="2"/>
        <scheme val="minor"/>
      </rPr>
      <t xml:space="preserve"> (Chiroptera: Molossidae) in South America and new records of leucism in central Argentina</t>
    </r>
  </si>
  <si>
    <t>Rosario</t>
  </si>
  <si>
    <r>
      <t xml:space="preserve">Registro de leucismo en </t>
    </r>
    <r>
      <rPr>
        <i/>
        <sz val="8"/>
        <color theme="1"/>
        <rFont val="Calibri"/>
        <family val="2"/>
        <scheme val="minor"/>
      </rPr>
      <t>Sturnira erythromos</t>
    </r>
    <r>
      <rPr>
        <sz val="8"/>
        <color theme="1"/>
        <rFont val="Calibri"/>
        <family val="2"/>
        <scheme val="minor"/>
      </rPr>
      <t xml:space="preserve"> en los Andes centrales de Colombia</t>
    </r>
  </si>
  <si>
    <t>Caldas</t>
  </si>
  <si>
    <t>Manizales, Central Hidroeléctrica de Caldas</t>
  </si>
  <si>
    <t>Jalisco</t>
  </si>
  <si>
    <t>Colima</t>
  </si>
  <si>
    <t>Manzanillo</t>
  </si>
  <si>
    <t>Aguascalientes</t>
  </si>
  <si>
    <t>Cocula</t>
  </si>
  <si>
    <t>Puebla</t>
  </si>
  <si>
    <t>Huautla</t>
  </si>
  <si>
    <t>Biosphere Reserve Barranca de Metztitlán, El Salitre Cave</t>
  </si>
  <si>
    <t>Metztitlán</t>
  </si>
  <si>
    <t>Some noteworthy records of Arkansas mammals</t>
  </si>
  <si>
    <t>Arkansas</t>
  </si>
  <si>
    <t>Newton County, Salt Peter Cave, near Boxley</t>
  </si>
  <si>
    <t>Antrozous pallidus pallidus</t>
  </si>
  <si>
    <t>Nevada</t>
  </si>
  <si>
    <t>Corn Creek Ranch</t>
  </si>
  <si>
    <t>Eptesicus serotinus turcomanus</t>
  </si>
  <si>
    <t>Russia</t>
  </si>
  <si>
    <t>Astrakhan Oblast</t>
  </si>
  <si>
    <t>Volvograd Oblast</t>
  </si>
  <si>
    <t>Samara Oblast</t>
  </si>
  <si>
    <t>Kamennyy Yar</t>
  </si>
  <si>
    <t>Lake Baskunchak</t>
  </si>
  <si>
    <t>Gornaya Proleyka</t>
  </si>
  <si>
    <t>Samara Bend</t>
  </si>
  <si>
    <t>Canadian Field Naturalist</t>
  </si>
  <si>
    <r>
      <t xml:space="preserve">An albino little brown bat, </t>
    </r>
    <r>
      <rPr>
        <i/>
        <sz val="8"/>
        <color theme="1"/>
        <rFont val="Calibri"/>
        <family val="2"/>
        <scheme val="minor"/>
      </rPr>
      <t>Myotis lucifugus</t>
    </r>
    <r>
      <rPr>
        <sz val="8"/>
        <color theme="1"/>
        <rFont val="Calibri"/>
        <family val="2"/>
        <scheme val="minor"/>
      </rPr>
      <t>, from Alberta</t>
    </r>
  </si>
  <si>
    <t>PMA</t>
  </si>
  <si>
    <t>Z80.77.1</t>
  </si>
  <si>
    <t>Alberta</t>
  </si>
  <si>
    <t>Seba Beach</t>
  </si>
  <si>
    <r>
      <t xml:space="preserve">First record of albinism in the bat </t>
    </r>
    <r>
      <rPr>
        <i/>
        <sz val="8"/>
        <color theme="1"/>
        <rFont val="Calibri"/>
        <family val="2"/>
        <scheme val="minor"/>
      </rPr>
      <t>Eumops glaucinus</t>
    </r>
    <r>
      <rPr>
        <sz val="8"/>
        <color theme="1"/>
        <rFont val="Calibri"/>
        <family val="2"/>
        <scheme val="minor"/>
      </rPr>
      <t xml:space="preserve"> (Molossidae) from southeastern Brazil</t>
    </r>
  </si>
  <si>
    <t>CCZN-SP</t>
  </si>
  <si>
    <t>544/00</t>
  </si>
  <si>
    <t>Campinas</t>
  </si>
  <si>
    <t>MCNG</t>
  </si>
  <si>
    <t>Barinas</t>
  </si>
  <si>
    <r>
      <t xml:space="preserve">First record of leucism in </t>
    </r>
    <r>
      <rPr>
        <i/>
        <sz val="8"/>
        <color theme="1"/>
        <rFont val="Calibri"/>
        <family val="2"/>
        <scheme val="minor"/>
      </rPr>
      <t>Artibeus lituratus</t>
    </r>
    <r>
      <rPr>
        <sz val="8"/>
        <color theme="1"/>
        <rFont val="Calibri"/>
        <family val="2"/>
        <scheme val="minor"/>
      </rPr>
      <t xml:space="preserve"> (Olfers, 1818) (Phyllostomidae) in Brazil</t>
    </r>
  </si>
  <si>
    <t>Rio de Janeiro</t>
  </si>
  <si>
    <t>Guapiaçú, Reserva Ecológica de Guapiaçú</t>
  </si>
  <si>
    <t>Parque Natural Municipal de Nova Iguaçu</t>
  </si>
  <si>
    <t>Yukon</t>
  </si>
  <si>
    <t>Watson Lake</t>
  </si>
  <si>
    <t>Manu, Palotoa River</t>
  </si>
  <si>
    <t>Pasco</t>
  </si>
  <si>
    <t>Oxapampa, Palmira</t>
  </si>
  <si>
    <t>Manu</t>
  </si>
  <si>
    <t>Estación Biológica Pakitza</t>
  </si>
  <si>
    <t>Iquitos, Requena, Centro de Investigaciones Jenaro Herrera</t>
  </si>
  <si>
    <t>Color abnormalities in three genera of northeastern cave bats</t>
  </si>
  <si>
    <t>New Jersey</t>
  </si>
  <si>
    <t>Pennsylvania</t>
  </si>
  <si>
    <t>Morris County, Hibernia</t>
  </si>
  <si>
    <t>Mifflin County, Siglerville, Aitkin Cave</t>
  </si>
  <si>
    <r>
      <t xml:space="preserve">First record of leucism in </t>
    </r>
    <r>
      <rPr>
        <i/>
        <sz val="8"/>
        <color theme="1"/>
        <rFont val="Calibri"/>
        <family val="2"/>
        <scheme val="minor"/>
      </rPr>
      <t>Artibeus phaeotis</t>
    </r>
    <r>
      <rPr>
        <sz val="8"/>
        <color theme="1"/>
        <rFont val="Calibri"/>
        <family val="2"/>
        <scheme val="minor"/>
      </rPr>
      <t xml:space="preserve"> (Miller, 1902) (Chiroptera: Phyllostomidae) from Guatemala</t>
    </r>
  </si>
  <si>
    <t>Guatemala</t>
  </si>
  <si>
    <t>Petén</t>
  </si>
  <si>
    <t>Laguna del Tigre National Park, El Peru</t>
  </si>
  <si>
    <t>Tuttle 1961</t>
  </si>
  <si>
    <t>Notes and Correspondence</t>
  </si>
  <si>
    <t>Bat Banding News</t>
  </si>
  <si>
    <t>Transactions of the Illinois Academy of Science</t>
  </si>
  <si>
    <r>
      <t>A leucistic little brown bat (</t>
    </r>
    <r>
      <rPr>
        <i/>
        <sz val="8"/>
        <color theme="1"/>
        <rFont val="Calibri"/>
        <family val="2"/>
        <scheme val="minor"/>
      </rPr>
      <t>Myotis l. lucifugus</t>
    </r>
    <r>
      <rPr>
        <sz val="8"/>
        <color theme="1"/>
        <rFont val="Calibri"/>
        <family val="2"/>
        <scheme val="minor"/>
      </rPr>
      <t>)</t>
    </r>
  </si>
  <si>
    <t>Vespertilio superans</t>
  </si>
  <si>
    <t>Ceará</t>
  </si>
  <si>
    <t>Fortaleza</t>
  </si>
  <si>
    <t>Veiga &amp; Oliveira 1995</t>
  </si>
  <si>
    <t>Arquivos de Biologia e Tecnologia</t>
  </si>
  <si>
    <r>
      <t xml:space="preserve">Um caso de albinismo completo em morcego </t>
    </r>
    <r>
      <rPr>
        <i/>
        <sz val="8"/>
        <color theme="1"/>
        <rFont val="Calibri"/>
        <family val="2"/>
        <scheme val="minor"/>
      </rPr>
      <t>Molossus molossus</t>
    </r>
    <r>
      <rPr>
        <sz val="8"/>
        <color theme="1"/>
        <rFont val="Calibri"/>
        <family val="2"/>
        <scheme val="minor"/>
      </rPr>
      <t>, Pallas (Chiroptera: Molossidae) em Santa Vitória do Palmar, RS, Brasil</t>
    </r>
  </si>
  <si>
    <t>Santa Vitória do Palmar</t>
  </si>
  <si>
    <t>Santiago de Cali, Universidad del Valle, campus Meléndez</t>
  </si>
  <si>
    <t>Calima-Darién, Río Calima, Campamento Río Azul</t>
  </si>
  <si>
    <t>FMNH</t>
  </si>
  <si>
    <t>Illinois</t>
  </si>
  <si>
    <t>LaSalle County, Utica, Blackball Mine</t>
  </si>
  <si>
    <t>Wisconsin</t>
  </si>
  <si>
    <t>Rusk County, Bruce</t>
  </si>
  <si>
    <t>FMNH Database</t>
  </si>
  <si>
    <t>Folia Zoologica</t>
  </si>
  <si>
    <r>
      <t xml:space="preserve">Abnormal coloration in Bechstein's bat, </t>
    </r>
    <r>
      <rPr>
        <i/>
        <sz val="8"/>
        <color theme="1"/>
        <rFont val="Calibri"/>
        <family val="2"/>
        <scheme val="minor"/>
      </rPr>
      <t>Myotis bechsteini</t>
    </r>
  </si>
  <si>
    <r>
      <t>Albino little brown bat (</t>
    </r>
    <r>
      <rPr>
        <i/>
        <sz val="8"/>
        <color theme="1"/>
        <rFont val="Calibri"/>
        <family val="2"/>
        <scheme val="minor"/>
      </rPr>
      <t>Myotis lucifugus lucifugus</t>
    </r>
    <r>
      <rPr>
        <sz val="8"/>
        <color theme="1"/>
        <rFont val="Calibri"/>
        <family val="2"/>
        <scheme val="minor"/>
      </rPr>
      <t>) from Wisconsin, with remarks on other aberrant bats</t>
    </r>
  </si>
  <si>
    <t>Leach, 1821</t>
  </si>
  <si>
    <t>(Olfers, 1818)</t>
  </si>
  <si>
    <t>(Gervais, 1856)</t>
  </si>
  <si>
    <t>(Tschudi, 1844)</t>
  </si>
  <si>
    <t>Lyon, 1902</t>
  </si>
  <si>
    <t>(Gray, 1843)</t>
  </si>
  <si>
    <t>(Wagner, 1843)</t>
  </si>
  <si>
    <t>É. Geoffroy Saint-Hilaire, 1805</t>
  </si>
  <si>
    <t>Goodman, Jansen van Vuuren, Ratrimomanarivo, Probst &amp; Bowie, 2008</t>
  </si>
  <si>
    <t>(Kuhl, 1817)</t>
  </si>
  <si>
    <t>(d'Orbigny, 1847)</t>
  </si>
  <si>
    <t>(Beauvois, 1796)</t>
  </si>
  <si>
    <t>(Müller, 1776)</t>
  </si>
  <si>
    <t>(Temminck, 1838)</t>
  </si>
  <si>
    <t>(Le Conte, 1856)</t>
  </si>
  <si>
    <t>(Boie, 1825)</t>
  </si>
  <si>
    <t>(Le Conte, 1831)</t>
  </si>
  <si>
    <t>(Temminck, 1840)</t>
  </si>
  <si>
    <t>(Borkhausen, 1797)</t>
  </si>
  <si>
    <t>Miller &amp; Allen, 1928</t>
  </si>
  <si>
    <r>
      <t>Rare colour aberration in the short-tailed fruit bats (</t>
    </r>
    <r>
      <rPr>
        <i/>
        <sz val="8"/>
        <color theme="1"/>
        <rFont val="Calibri"/>
        <family val="2"/>
        <scheme val="minor"/>
      </rPr>
      <t>Carollia perspicillata</t>
    </r>
    <r>
      <rPr>
        <sz val="8"/>
        <color theme="1"/>
        <rFont val="Calibri"/>
        <family val="2"/>
        <scheme val="minor"/>
      </rPr>
      <t>)</t>
    </r>
  </si>
  <si>
    <t>Biodiversity International Journal</t>
  </si>
  <si>
    <t>Cundinamarca</t>
  </si>
  <si>
    <t>Bogotá</t>
  </si>
  <si>
    <t>Aberrant colouration in bats from Poland</t>
  </si>
  <si>
    <t>e161703</t>
  </si>
  <si>
    <t>North-Western Journal of Zoology</t>
  </si>
  <si>
    <t>Myotis nattereri</t>
  </si>
  <si>
    <t>Sudety foothills, Slawniowice</t>
  </si>
  <si>
    <t>Sudety foothills, Adit Barbara</t>
  </si>
  <si>
    <t>Pieniny Mountains, Jaworki</t>
  </si>
  <si>
    <t>Lubusz</t>
  </si>
  <si>
    <t>Lubusz Lakeland, Nietoperek</t>
  </si>
  <si>
    <t>Lubusz Lakeland, near Nietoperek</t>
  </si>
  <si>
    <t>Tatra Mountains, Cave Wielka Litworowa</t>
  </si>
  <si>
    <t>Mazovian Lowland, Warszawa</t>
  </si>
  <si>
    <t>Mazovian Lowland, near Modlin</t>
  </si>
  <si>
    <t>Mazovian Lowland, Pulawy</t>
  </si>
  <si>
    <t>Ciężkowickie foothills, Cave Skamieniala</t>
  </si>
  <si>
    <t>Sowie Mountains, Rosciszów</t>
  </si>
  <si>
    <t>Kamienne Mountains, Cave Z Filarami</t>
  </si>
  <si>
    <t>Leszczyńskie Lakeland, Sniaty</t>
  </si>
  <si>
    <t>Dynowskie foothills, Cave Jasna</t>
  </si>
  <si>
    <t>Beskidy Mountains, Cave Niedzwiedzia</t>
  </si>
  <si>
    <t>Północnomazowiecka Lowland, Dzialdowo</t>
  </si>
  <si>
    <t>Północnopodlaska Lowland, Bialowieza</t>
  </si>
  <si>
    <t>Ciężkowickie foothills, Cave Diabla Dziura</t>
  </si>
  <si>
    <t>Bator et al 2008</t>
  </si>
  <si>
    <t>Gólski 2010</t>
  </si>
  <si>
    <t>Locality by Cichocki et al 2017</t>
  </si>
  <si>
    <t>A Bator, R Szkudlarek, A Wegiel</t>
  </si>
  <si>
    <t>Species compositon and population structure of bats netted in Ciezkowicko-Roznowski Landscape Park</t>
  </si>
  <si>
    <t>Nietoperze</t>
  </si>
  <si>
    <t>Z Gólski</t>
  </si>
  <si>
    <t>Nietoperze wokól nas i w podziemiach MRU</t>
  </si>
  <si>
    <r>
      <t xml:space="preserve">Primer reporte de leucismo para </t>
    </r>
    <r>
      <rPr>
        <i/>
        <sz val="8"/>
        <color theme="1"/>
        <rFont val="Calibri"/>
        <family val="2"/>
        <scheme val="minor"/>
      </rPr>
      <t xml:space="preserve">Artibeus fraterculus </t>
    </r>
    <r>
      <rPr>
        <sz val="8"/>
        <color theme="1"/>
        <rFont val="Calibri"/>
        <family val="2"/>
        <scheme val="minor"/>
      </rPr>
      <t>(Chiroptera: Phyllostomidae) en Ecuador</t>
    </r>
  </si>
  <si>
    <t>Revista Biodiversidad Neotropical</t>
  </si>
  <si>
    <t>Mangas Saiba</t>
  </si>
  <si>
    <t>Los Ríos</t>
  </si>
  <si>
    <r>
      <t xml:space="preserve">First record of leucism for </t>
    </r>
    <r>
      <rPr>
        <i/>
        <sz val="8"/>
        <color theme="1"/>
        <rFont val="Calibri"/>
        <family val="2"/>
        <scheme val="minor"/>
      </rPr>
      <t xml:space="preserve">Carollia castanea </t>
    </r>
    <r>
      <rPr>
        <sz val="8"/>
        <color theme="1"/>
        <rFont val="Calibri"/>
        <family val="2"/>
        <scheme val="minor"/>
      </rPr>
      <t>Allen, 1890 (Phyllostomidae: Carollinae) in southeastern Costa Rica</t>
    </r>
  </si>
  <si>
    <t>Anales de Biología</t>
  </si>
  <si>
    <t>Costa Rica</t>
  </si>
  <si>
    <t>Puntarenas</t>
  </si>
  <si>
    <t>Las Alturas de Cotón Farm</t>
  </si>
  <si>
    <r>
      <t xml:space="preserve">Primer registro para Venezuela de leucismo en </t>
    </r>
    <r>
      <rPr>
        <i/>
        <sz val="8"/>
        <color theme="1"/>
        <rFont val="Calibri"/>
        <family val="2"/>
        <scheme val="minor"/>
      </rPr>
      <t xml:space="preserve">Sturnira lilium </t>
    </r>
    <r>
      <rPr>
        <sz val="8"/>
        <color theme="1"/>
        <rFont val="Calibri"/>
        <family val="2"/>
        <scheme val="minor"/>
      </rPr>
      <t>(Chiroptera: Phyllostomidae)</t>
    </r>
  </si>
  <si>
    <t>Acta Biologica Venezuelana</t>
  </si>
  <si>
    <t>San Felipe, Zona Protectora del Macizo de Nirgua, proxima a la quebrada La Estación</t>
  </si>
  <si>
    <r>
      <t xml:space="preserve">Albinism in </t>
    </r>
    <r>
      <rPr>
        <i/>
        <sz val="8"/>
        <color theme="1"/>
        <rFont val="Calibri"/>
        <family val="2"/>
        <scheme val="minor"/>
      </rPr>
      <t xml:space="preserve">Carollia perspicillata </t>
    </r>
    <r>
      <rPr>
        <sz val="8"/>
        <color theme="1"/>
        <rFont val="Calibri"/>
        <family val="2"/>
        <scheme val="minor"/>
      </rPr>
      <t>(Chiroptera; Phyllostomidae), in the state of Rondônia, Brazil. A brief review of albinism in bats</t>
    </r>
  </si>
  <si>
    <t>Biotemas</t>
  </si>
  <si>
    <t>Rondônia</t>
  </si>
  <si>
    <t>Porto Velho, Caiçara</t>
  </si>
  <si>
    <t>MZUSP</t>
  </si>
  <si>
    <r>
      <t>Interesting tawny specimen of the long-eared bat (</t>
    </r>
    <r>
      <rPr>
        <i/>
        <sz val="8"/>
        <color theme="1"/>
        <rFont val="Calibri"/>
        <family val="2"/>
        <scheme val="minor"/>
      </rPr>
      <t xml:space="preserve">Plecotus auritus </t>
    </r>
    <r>
      <rPr>
        <sz val="8"/>
        <color theme="1"/>
        <rFont val="Calibri"/>
        <family val="2"/>
        <scheme val="minor"/>
      </rPr>
      <t>L.)</t>
    </r>
  </si>
  <si>
    <t>Acta Theriologica</t>
  </si>
  <si>
    <r>
      <t xml:space="preserve">A rufous specimen of </t>
    </r>
    <r>
      <rPr>
        <i/>
        <sz val="8"/>
        <color theme="1"/>
        <rFont val="Calibri"/>
        <family val="2"/>
        <scheme val="minor"/>
      </rPr>
      <t xml:space="preserve">Eptesicus serotinus </t>
    </r>
    <r>
      <rPr>
        <sz val="8"/>
        <color theme="1"/>
        <rFont val="Calibri"/>
        <family val="2"/>
        <scheme val="minor"/>
      </rPr>
      <t>(Schreber, 1774)</t>
    </r>
  </si>
  <si>
    <r>
      <t>Découverte d'un jeune grand murin (</t>
    </r>
    <r>
      <rPr>
        <i/>
        <sz val="8"/>
        <color theme="1"/>
        <rFont val="Calibri"/>
        <family val="2"/>
        <scheme val="minor"/>
      </rPr>
      <t>Myotis myotis</t>
    </r>
    <r>
      <rPr>
        <sz val="8"/>
        <color theme="1"/>
        <rFont val="Calibri"/>
        <family val="2"/>
        <scheme val="minor"/>
      </rPr>
      <t>) albinos en Corrèze (19)(France): essai de synthèse sur les cas d'albinisme des chiroptères en Europe</t>
    </r>
  </si>
  <si>
    <t>Le Rhinolophe</t>
  </si>
  <si>
    <t>Nouvelle-Aquitaine</t>
  </si>
  <si>
    <t>Corrèze, Barrage du Chastang</t>
  </si>
  <si>
    <t>Bourgogne-Franche-Comté</t>
  </si>
  <si>
    <t>Haute-Saône</t>
  </si>
  <si>
    <t>Centre-Val de Loire</t>
  </si>
  <si>
    <t>Eure-et-Loir, Chartres</t>
  </si>
  <si>
    <t>Brittany</t>
  </si>
  <si>
    <t>Morbihan</t>
  </si>
  <si>
    <t>Aube</t>
  </si>
  <si>
    <t>Grand Est</t>
  </si>
  <si>
    <t>Hauts-de-France</t>
  </si>
  <si>
    <t>Picardie</t>
  </si>
  <si>
    <t>Provence-Alpes-Côte d'Azur</t>
  </si>
  <si>
    <t>Boucher-du-Rhône</t>
  </si>
  <si>
    <t>Vallée de la Meuse</t>
  </si>
  <si>
    <t>Grand rhinolophe albinos</t>
  </si>
  <si>
    <t>L'Envol des Chiros</t>
  </si>
  <si>
    <t>Vallée de l'Indre</t>
  </si>
  <si>
    <t>A la recherche du rhino blanc</t>
  </si>
  <si>
    <t>La feuille de le contact Plecotus</t>
  </si>
  <si>
    <t>Belgium</t>
  </si>
  <si>
    <t>Wallonia</t>
  </si>
  <si>
    <t>Huy</t>
  </si>
  <si>
    <r>
      <t xml:space="preserve">A new case of albinism in the bat </t>
    </r>
    <r>
      <rPr>
        <i/>
        <sz val="8"/>
        <color theme="1"/>
        <rFont val="Calibri"/>
        <family val="2"/>
        <scheme val="minor"/>
      </rPr>
      <t xml:space="preserve">Micronycteris minuta </t>
    </r>
    <r>
      <rPr>
        <sz val="8"/>
        <color theme="1"/>
        <rFont val="Calibri"/>
        <family val="2"/>
        <scheme val="minor"/>
      </rPr>
      <t>(Chiroptera: Phyllostomidae) from Costa Rica</t>
    </r>
  </si>
  <si>
    <t>Ecotropica</t>
  </si>
  <si>
    <t>San José</t>
  </si>
  <si>
    <t>Centro de Conservación Santa Ana</t>
  </si>
  <si>
    <t>Micronycteris minuta</t>
  </si>
  <si>
    <t>MNCR</t>
  </si>
  <si>
    <t>A propos d'un Grand rinolophe albinos dans la Vienne</t>
  </si>
  <si>
    <t>Grotte de Boisdichon</t>
  </si>
  <si>
    <r>
      <t xml:space="preserve">First record of a flavistic lesser horseshoe bat </t>
    </r>
    <r>
      <rPr>
        <i/>
        <sz val="8"/>
        <color theme="1"/>
        <rFont val="Calibri"/>
        <family val="2"/>
        <scheme val="minor"/>
      </rPr>
      <t xml:space="preserve">Rhinolophus hipposideros </t>
    </r>
    <r>
      <rPr>
        <sz val="8"/>
        <color theme="1"/>
        <rFont val="Calibri"/>
        <family val="2"/>
        <scheme val="minor"/>
      </rPr>
      <t>(Bechstein, 1800) in Slovenia</t>
    </r>
  </si>
  <si>
    <t>Natura Sloveniae</t>
  </si>
  <si>
    <t>Slovenia</t>
  </si>
  <si>
    <t>Littoral-Inner Carniola</t>
  </si>
  <si>
    <t>Cerknica, Dolenja Vas, Church of St. Lovrenc</t>
  </si>
  <si>
    <t>The detection of partial albinism at three species of bats (Mammalia: Chiroptera) in European part of Russia</t>
  </si>
  <si>
    <t>Open Journal of Animal Sciences</t>
  </si>
  <si>
    <t>PGU</t>
  </si>
  <si>
    <r>
      <t xml:space="preserve">Bats of Bako National Park and additional notes on the rare partial albinism in fawn roundleaf bat (Hipposideridae: </t>
    </r>
    <r>
      <rPr>
        <i/>
        <sz val="8"/>
        <color theme="1"/>
        <rFont val="Calibri"/>
        <family val="2"/>
        <scheme val="minor"/>
      </rPr>
      <t>Hipposideros cervinus</t>
    </r>
    <r>
      <rPr>
        <sz val="8"/>
        <color theme="1"/>
        <rFont val="Calibri"/>
        <family val="2"/>
        <scheme val="minor"/>
      </rPr>
      <t>)</t>
    </r>
  </si>
  <si>
    <t>Borneo Journal of Resource Science and Technology</t>
  </si>
  <si>
    <t>Indonesia</t>
  </si>
  <si>
    <t>Sarawak</t>
  </si>
  <si>
    <t>Bako National Park</t>
  </si>
  <si>
    <r>
      <t xml:space="preserve">First record of leucism in </t>
    </r>
    <r>
      <rPr>
        <i/>
        <sz val="8"/>
        <color theme="1"/>
        <rFont val="Calibri"/>
        <family val="2"/>
        <scheme val="minor"/>
      </rPr>
      <t>Glossophaga soricina valens</t>
    </r>
    <r>
      <rPr>
        <sz val="8"/>
        <color theme="1"/>
        <rFont val="Calibri"/>
        <family val="2"/>
        <scheme val="minor"/>
      </rPr>
      <t xml:space="preserve"> (Phyllostomidae: Chiroptera) from Peru</t>
    </r>
  </si>
  <si>
    <t>Therya</t>
  </si>
  <si>
    <t>Museo de Historia Natural</t>
  </si>
  <si>
    <t>Coloración atípica en murciélagos: frecuencia y fenotipos en Norte y Centroamérica e islas del Caribe y nuevos casos para México y Costa Rica</t>
  </si>
  <si>
    <t>Revista Mexicana de Biodiversidad</t>
  </si>
  <si>
    <t>Puerto Vallarta, Área Natural Protegida Estero El Salado, sítio Las Higueras</t>
  </si>
  <si>
    <t>Puerto Vallarta, Área Natural Protegida Estero El Salado, sítio El Vivero</t>
  </si>
  <si>
    <t>Manzanillo, Agua Blanca</t>
  </si>
  <si>
    <t>Juchitán de Zaragoza, La Venta</t>
  </si>
  <si>
    <t>Zapopan, Área de Protección de Flora y Fauna La Primavera</t>
  </si>
  <si>
    <t>Heredia</t>
  </si>
  <si>
    <t>Reserva Ecológica La Tirimbina, Sarapiquí</t>
  </si>
  <si>
    <t>Warren County, abandoned mine</t>
  </si>
  <si>
    <t>The mammals of Vermont</t>
  </si>
  <si>
    <t>Vermont</t>
  </si>
  <si>
    <r>
      <t xml:space="preserve">Comments on frequency of melanism in </t>
    </r>
    <r>
      <rPr>
        <i/>
        <sz val="8"/>
        <color theme="1"/>
        <rFont val="Calibri"/>
        <family val="2"/>
        <scheme val="minor"/>
      </rPr>
      <t>Myotis lucifugus</t>
    </r>
  </si>
  <si>
    <t>Ontario</t>
  </si>
  <si>
    <t>Renfrew County, Raglan Township, Craigmont Mine</t>
  </si>
  <si>
    <r>
      <t>New records of hypopigmentation in two neotropical phyllostomid bat species with different roosting habits (</t>
    </r>
    <r>
      <rPr>
        <i/>
        <sz val="8"/>
        <color theme="1"/>
        <rFont val="Calibri"/>
        <family val="2"/>
        <scheme val="minor"/>
      </rPr>
      <t>Uroderma bilobatum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Glossophaga soricina</t>
    </r>
    <r>
      <rPr>
        <sz val="8"/>
        <color theme="1"/>
        <rFont val="Calibri"/>
        <family val="2"/>
        <scheme val="minor"/>
      </rPr>
      <t>)</t>
    </r>
  </si>
  <si>
    <t>Panama</t>
  </si>
  <si>
    <t>Summit Municipal Park</t>
  </si>
  <si>
    <t>El Giral</t>
  </si>
  <si>
    <t>Guanacaste</t>
  </si>
  <si>
    <t>Santa Rosa National Park</t>
  </si>
  <si>
    <t>Colón</t>
  </si>
  <si>
    <t>Indomalaya</t>
  </si>
  <si>
    <t>Neotropic</t>
  </si>
  <si>
    <t>Australasia</t>
  </si>
  <si>
    <t>Nearctic</t>
  </si>
  <si>
    <t>Palearctic</t>
  </si>
  <si>
    <t>Afrotropic</t>
  </si>
  <si>
    <t>Gray, 1838</t>
  </si>
  <si>
    <t>Peropteryx kappleri</t>
  </si>
  <si>
    <t>Emballonurinae</t>
  </si>
  <si>
    <t>Peropteryx</t>
  </si>
  <si>
    <t>Peters, 1867</t>
  </si>
  <si>
    <t>Subterranean Biology</t>
  </si>
  <si>
    <t>Pará</t>
  </si>
  <si>
    <t>Floresta Nacional de Carajás, PESE-0004</t>
  </si>
  <si>
    <t>Floresta Nacional de Carajás, S11D-0007</t>
  </si>
  <si>
    <t>Estação Biológica Marinha Augusto Ruschi</t>
  </si>
  <si>
    <t>Artibeus obscurus</t>
  </si>
  <si>
    <t>Biodiversity Data Journal</t>
  </si>
  <si>
    <t>e38304</t>
  </si>
  <si>
    <r>
      <t xml:space="preserve">First record of pigmentation disorder in the fringe-lipped bat </t>
    </r>
    <r>
      <rPr>
        <i/>
        <sz val="8"/>
        <color theme="1"/>
        <rFont val="Calibri"/>
        <family val="2"/>
        <scheme val="minor"/>
      </rPr>
      <t xml:space="preserve">Trachops cirrhosus </t>
    </r>
    <r>
      <rPr>
        <sz val="8"/>
        <color theme="1"/>
        <rFont val="Calibri"/>
        <family val="2"/>
        <scheme val="minor"/>
      </rPr>
      <t>(Spix, 1823) (Chirotpera: Phyllostomidae) from southeast Brazil</t>
    </r>
  </si>
  <si>
    <r>
      <t xml:space="preserve">First record of albinism for the doglike bat, </t>
    </r>
    <r>
      <rPr>
        <i/>
        <sz val="8"/>
        <color theme="1"/>
        <rFont val="Calibri"/>
        <family val="2"/>
        <scheme val="minor"/>
      </rPr>
      <t>Peropteryx kappleri</t>
    </r>
    <r>
      <rPr>
        <sz val="8"/>
        <color theme="1"/>
        <rFont val="Calibri"/>
        <family val="2"/>
        <scheme val="minor"/>
      </rPr>
      <t xml:space="preserve"> Peters, 1867 (Chiroptera, Emballonuridae)</t>
    </r>
  </si>
  <si>
    <t>Data</t>
  </si>
  <si>
    <t>Geographical Data</t>
  </si>
  <si>
    <t>Information</t>
  </si>
  <si>
    <t>Decimal</t>
  </si>
  <si>
    <t>DMS</t>
  </si>
  <si>
    <t>DDM</t>
  </si>
  <si>
    <t>State / Province</t>
  </si>
  <si>
    <t>L</t>
  </si>
  <si>
    <t>Real</t>
  </si>
  <si>
    <t>Emballonuroidea</t>
  </si>
  <si>
    <t>Noctilionoidea</t>
  </si>
  <si>
    <t>Gardnerycteris</t>
  </si>
  <si>
    <t>Gardnerycteris crenulatum</t>
  </si>
  <si>
    <t>(É. Geoffroy Saint-Hilaire, 1803)</t>
  </si>
  <si>
    <t>Anoura geoffroyi</t>
  </si>
  <si>
    <t>Allen, 1890</t>
  </si>
  <si>
    <t>Gervais, 1856</t>
  </si>
  <si>
    <t>(Peters, 1860)</t>
  </si>
  <si>
    <t>Vespertilionoidea</t>
  </si>
  <si>
    <t>(I. Geoffroy, 1824)</t>
  </si>
  <si>
    <t>Perimyotis</t>
  </si>
  <si>
    <t>Perimyotis subflavus</t>
  </si>
  <si>
    <t>SuperFamily</t>
  </si>
  <si>
    <t>Buchanan, 1800</t>
  </si>
  <si>
    <t>Rhinolophoidea</t>
  </si>
  <si>
    <t>(Andersen, 1912)</t>
  </si>
  <si>
    <t>Pteropodoidea</t>
  </si>
  <si>
    <t>Rousettinae</t>
  </si>
  <si>
    <t>Rhinopoma hardwickii</t>
  </si>
  <si>
    <t>(Smith, 1829)</t>
  </si>
  <si>
    <t>(Cuvier, 1832)</t>
  </si>
  <si>
    <t>Rhinopoma hardwickei</t>
  </si>
  <si>
    <t>Apud</t>
  </si>
  <si>
    <t>Palasthy 1968</t>
  </si>
  <si>
    <t>J Palasthy</t>
  </si>
  <si>
    <r>
      <t>Èastý výskyt parciálneho albinizmu u uchane èiernej (</t>
    </r>
    <r>
      <rPr>
        <i/>
        <sz val="8"/>
        <color theme="1"/>
        <rFont val="Calibri"/>
        <family val="2"/>
        <scheme val="minor"/>
      </rPr>
      <t>Barbastella barbastellus</t>
    </r>
    <r>
      <rPr>
        <sz val="8"/>
        <color theme="1"/>
        <rFont val="Calibri"/>
        <family val="2"/>
        <scheme val="minor"/>
      </rPr>
      <t xml:space="preserve"> Schreber, 1774)</t>
    </r>
  </si>
  <si>
    <t>Biologia (Bratislava)</t>
  </si>
  <si>
    <t>Zaire [Democratic Republic of the Congo]</t>
  </si>
  <si>
    <t>Belgian Congo [Democratic Republic of the Congo]</t>
  </si>
  <si>
    <t>Sawada 1990</t>
  </si>
  <si>
    <t>I Sawada</t>
  </si>
  <si>
    <t>On the distribution of cave bats and their endoparasite fauna on the Iki Island in Nagasaki Prefecture</t>
  </si>
  <si>
    <t>Transactions of the Nagasaki Biological Society</t>
  </si>
  <si>
    <t>Rhinolophus euryale</t>
  </si>
  <si>
    <t>Blasius, 1953</t>
  </si>
  <si>
    <t>Un cas d'albinisme complet chez un Rhinolophe euryale</t>
  </si>
  <si>
    <t>Pays de la Loire</t>
  </si>
  <si>
    <t>Maine-et-Loir [Maine-et-Loire]</t>
  </si>
  <si>
    <t>Germany</t>
  </si>
  <si>
    <t>Stratman 1971</t>
  </si>
  <si>
    <t>Tupinier 1989</t>
  </si>
  <si>
    <t>Dubkin 1952</t>
  </si>
  <si>
    <t>Schober &amp; Grimmberger 1989</t>
  </si>
  <si>
    <t>Brack &amp; Johnson 1990</t>
  </si>
  <si>
    <t>Pipistrellus pipistrellus</t>
  </si>
  <si>
    <t>Cerveny 1977</t>
  </si>
  <si>
    <t>Lehnert 1991</t>
  </si>
  <si>
    <t>Mukohyama 1990</t>
  </si>
  <si>
    <t>Kahrau 1972</t>
  </si>
  <si>
    <t>Oyabu 1982</t>
  </si>
  <si>
    <t>Borneo</t>
  </si>
  <si>
    <t>B Stratman</t>
  </si>
  <si>
    <r>
      <t xml:space="preserve">Vollalbinismus bei </t>
    </r>
    <r>
      <rPr>
        <i/>
        <sz val="8"/>
        <color theme="1"/>
        <rFont val="Calibri"/>
        <family val="2"/>
        <scheme val="minor"/>
      </rPr>
      <t>Eptesicus serotinus</t>
    </r>
    <r>
      <rPr>
        <sz val="8"/>
        <color theme="1"/>
        <rFont val="Calibri"/>
        <family val="2"/>
        <scheme val="minor"/>
      </rPr>
      <t>, Breitflügelfledermaus</t>
    </r>
  </si>
  <si>
    <t>V Brack, SA Johnson</t>
  </si>
  <si>
    <r>
      <t xml:space="preserve">An albino </t>
    </r>
    <r>
      <rPr>
        <i/>
        <sz val="8"/>
        <color theme="1"/>
        <rFont val="Calibri"/>
        <family val="2"/>
        <scheme val="minor"/>
      </rPr>
      <t>Myotis sodalis</t>
    </r>
  </si>
  <si>
    <t>J Cerveny</t>
  </si>
  <si>
    <t>Bílé zbarveni u netopýru</t>
  </si>
  <si>
    <t>Ziva</t>
  </si>
  <si>
    <t>M Lehnert</t>
  </si>
  <si>
    <t>Total-albinotisches Braunes Langohr in Berlin/Wannsee gefunden</t>
  </si>
  <si>
    <t>H Smith</t>
  </si>
  <si>
    <r>
      <t xml:space="preserve">Albinism in the bent-winged bat </t>
    </r>
    <r>
      <rPr>
        <i/>
        <sz val="8"/>
        <color theme="1"/>
        <rFont val="Calibri"/>
        <family val="2"/>
        <scheme val="minor"/>
      </rPr>
      <t xml:space="preserve">Miniopterus schreibersii </t>
    </r>
    <r>
      <rPr>
        <sz val="8"/>
        <color theme="1"/>
        <rFont val="Calibri"/>
        <family val="2"/>
        <scheme val="minor"/>
      </rPr>
      <t>(Kuhl)</t>
    </r>
  </si>
  <si>
    <t>Victorian Naturalist</t>
  </si>
  <si>
    <t>K Oyabu</t>
  </si>
  <si>
    <t>An albinistic long-fingered bat</t>
  </si>
  <si>
    <t>Kagaku Asahi</t>
  </si>
  <si>
    <t>Panmure Cave, near Warrnambool</t>
  </si>
  <si>
    <t>South Australia</t>
  </si>
  <si>
    <t>Naracoorte, Bat Cave</t>
  </si>
  <si>
    <t>"It is believed that albinism does not affect the behavioral ecology of vampire bats significantly enough to jeopardize their survival and fitness in the wild"</t>
  </si>
  <si>
    <t>DL Biassi, APB Neres, FM D'Agostini</t>
  </si>
  <si>
    <r>
      <t xml:space="preserve">Registro de leucismo em </t>
    </r>
    <r>
      <rPr>
        <i/>
        <sz val="8"/>
        <color theme="1"/>
        <rFont val="Calibri"/>
        <family val="2"/>
        <scheme val="minor"/>
      </rPr>
      <t xml:space="preserve">Sturnira lilium </t>
    </r>
    <r>
      <rPr>
        <sz val="8"/>
        <color theme="1"/>
        <rFont val="Calibri"/>
        <family val="2"/>
        <scheme val="minor"/>
      </rPr>
      <t>(E. Geoffroy, 1810) (Chiroptera: Mammalia) no sul do Brasil</t>
    </r>
  </si>
  <si>
    <t>Revista Brasileira de Biociências</t>
  </si>
  <si>
    <t>Santa Catarina</t>
  </si>
  <si>
    <t>Herval d'Oeste</t>
  </si>
  <si>
    <t>ACS Nascimento, ACM Dourado, LC Trevelin, AMR Bezerra</t>
  </si>
  <si>
    <r>
      <t xml:space="preserve">First record of total albinism in </t>
    </r>
    <r>
      <rPr>
        <i/>
        <sz val="8"/>
        <color theme="1"/>
        <rFont val="Calibri"/>
        <family val="2"/>
        <scheme val="minor"/>
      </rPr>
      <t xml:space="preserve">Molossus molossus </t>
    </r>
    <r>
      <rPr>
        <sz val="8"/>
        <color theme="1"/>
        <rFont val="Calibri"/>
        <family val="2"/>
        <scheme val="minor"/>
      </rPr>
      <t>(Chiroptera: Molossidae) from northeastern Brazil</t>
    </r>
  </si>
  <si>
    <t>Boletim do Museo Paraense Emílio Goeldi (Ciências Naturais)</t>
  </si>
  <si>
    <t>MPEG</t>
  </si>
  <si>
    <t>Maranhão</t>
  </si>
  <si>
    <t>Imperatriz</t>
  </si>
  <si>
    <t>"Furthermore, some authors suggest that albinism in bats is not so harmful, since they are acoustically guided"</t>
  </si>
  <si>
    <t>M Zortéa, MC Silva</t>
  </si>
  <si>
    <r>
      <t xml:space="preserve">Albinism in the striped spear-nosed bat </t>
    </r>
    <r>
      <rPr>
        <i/>
        <sz val="8"/>
        <color theme="1"/>
        <rFont val="Calibri"/>
        <family val="2"/>
        <scheme val="minor"/>
      </rPr>
      <t xml:space="preserve">Gardnerycteris crenulatum </t>
    </r>
    <r>
      <rPr>
        <sz val="8"/>
        <color theme="1"/>
        <rFont val="Calibri"/>
        <family val="2"/>
        <scheme val="minor"/>
      </rPr>
      <t>(Chiroptera: Phyllostomidae) with an updated list of albino bats in the world</t>
    </r>
  </si>
  <si>
    <t>CJ</t>
  </si>
  <si>
    <t>Tocantins</t>
  </si>
  <si>
    <t>Barra do Ouro</t>
  </si>
  <si>
    <t>F Lucati, A López-Baucells</t>
  </si>
  <si>
    <t>Chromatic disorders in bats: a review of pigmentation anomalies and the misuse of terms to describe them</t>
  </si>
  <si>
    <t>Mammal Review</t>
  </si>
  <si>
    <t>Kenya</t>
  </si>
  <si>
    <t>Table S1</t>
  </si>
  <si>
    <t>Sri Lanka</t>
  </si>
  <si>
    <t>Yapa et al 2000</t>
  </si>
  <si>
    <t>Silva-Taboada 1979</t>
  </si>
  <si>
    <t>Mormopterus loriae</t>
  </si>
  <si>
    <t>Italy</t>
  </si>
  <si>
    <t>Sánchez-Hernández et al 1989</t>
  </si>
  <si>
    <t>Costa Rica?</t>
  </si>
  <si>
    <t>Hargreaves 2013</t>
  </si>
  <si>
    <t>Hargreaves 2014</t>
  </si>
  <si>
    <t>Hargreaves 2015</t>
  </si>
  <si>
    <t>Jiménez-Ramírez and De La Torre González 2006</t>
  </si>
  <si>
    <t>Guimarães et al 2013</t>
  </si>
  <si>
    <t>Austria</t>
  </si>
  <si>
    <t>Fontanel 2001</t>
  </si>
  <si>
    <t>Frontera 2002</t>
  </si>
  <si>
    <t>Knolle 1988</t>
  </si>
  <si>
    <t>Reitter 2010</t>
  </si>
  <si>
    <t>Myotis bechsteinii</t>
  </si>
  <si>
    <t>Myotis daubentonii</t>
  </si>
  <si>
    <t>Pipistrellus kuhlii</t>
  </si>
  <si>
    <t xml:space="preserve">Albinism </t>
  </si>
  <si>
    <t>Moldova</t>
  </si>
  <si>
    <t>?</t>
  </si>
  <si>
    <t>Australia?</t>
  </si>
  <si>
    <t>Greece</t>
  </si>
  <si>
    <t>Jackson 1961</t>
  </si>
  <si>
    <t>Stratmann 1971</t>
  </si>
  <si>
    <t>Laskowska 2002</t>
  </si>
  <si>
    <t>Obada &amp; Gas 2003</t>
  </si>
  <si>
    <t>Pelz 2004</t>
  </si>
  <si>
    <t>Dietz et al 2007</t>
  </si>
  <si>
    <t>Schober &amp; Grimmberger 1998</t>
  </si>
  <si>
    <t>Weidner 2006</t>
  </si>
  <si>
    <t>Dietz &amp; Schunger 2001</t>
  </si>
  <si>
    <t>Haquart et al 1997</t>
  </si>
  <si>
    <t>Picariello et al 1999</t>
  </si>
  <si>
    <t>Sendor 2001</t>
  </si>
  <si>
    <t>Alcalde 2009</t>
  </si>
  <si>
    <t>Thomas, 1897</t>
  </si>
  <si>
    <t>Cocha Casu Biological Station, Manu National Park</t>
  </si>
  <si>
    <t>LH Acosta, M Saldías, LA Nuñes</t>
  </si>
  <si>
    <t>JT Alcade</t>
  </si>
  <si>
    <t>GM Allen</t>
  </si>
  <si>
    <t>B Aul, G Marimuthu</t>
  </si>
  <si>
    <t>RM Barquez, LV Carrizo, LI Ferro, DA Flores, MI Mollerach, MS Sánchez, APG López</t>
  </si>
  <si>
    <t>T Bartonicka, Z Buric</t>
  </si>
  <si>
    <t>JP Bekker</t>
  </si>
  <si>
    <t>LFO Bernardi, X Prous, MS Ribeiro, J Mascarenhas, SMC Genelhú, MH Simões, T Bezerra</t>
  </si>
  <si>
    <t>US Bhati</t>
  </si>
  <si>
    <t>C Boada, DG Tirira</t>
  </si>
  <si>
    <t>IS Borloti, VT Pimenta, AD Ditchfield</t>
  </si>
  <si>
    <t>RM Brigham, AK James</t>
  </si>
  <si>
    <t>J Brito, C León</t>
  </si>
  <si>
    <t>GD Buchanan</t>
  </si>
  <si>
    <t>JA Bures</t>
  </si>
  <si>
    <t>J Buys, H Heijligers, M Dorenbosch</t>
  </si>
  <si>
    <t>W Caire, M Thies</t>
  </si>
  <si>
    <t>A Calderón-Álvarez, A Marín-Vásquez</t>
  </si>
  <si>
    <t>JJ Chacón, CMG Charrasquiel, JB Correa</t>
  </si>
  <si>
    <t>P Charles-Dominique, A Brosset, S Jouard</t>
  </si>
  <si>
    <t>J Cichocki, G Lesiński, K Piksa, A Ważna, M Warchałowski, A Bator, I Gottfried, T Gottfried, W Gubała, R Jaros, M Kowalski, L Ptoskon, T Postawa, M Stopczyński, R Szkudlarek</t>
  </si>
  <si>
    <t>JF Córdova, C Nivelo-Villavicencio, PX Astudillo</t>
  </si>
  <si>
    <t>S Danko</t>
  </si>
  <si>
    <t>RV Devkar, S Jayaraman, K Upadhyay, P Patel</t>
  </si>
  <si>
    <t>J Dorst</t>
  </si>
  <si>
    <t>B Dulic, J Mikuska</t>
  </si>
  <si>
    <t>DA Easterla, LC Watkins</t>
  </si>
  <si>
    <t>FC Falcão</t>
  </si>
  <si>
    <t>JE Frontera</t>
  </si>
  <si>
    <t>J Gaisler, M Pokorný</t>
  </si>
  <si>
    <t>J Gaisler, M Kovarik, L Stefka</t>
  </si>
  <si>
    <t>M Gamba-Rios</t>
  </si>
  <si>
    <t>R García-Morales, EJ Gordillo-Chávez, J Bello-Gutiérrez</t>
  </si>
  <si>
    <t>R García-Morales, AE Rojas-Martínez, ES Ávila-Gómez, CE Moreno</t>
  </si>
  <si>
    <t>R García-Morales, DT Duran, ES Ávila-Gómez, CE Moreno, MS Akmentins</t>
  </si>
  <si>
    <t>D Geiger, SM Pacheco</t>
  </si>
  <si>
    <t>BP Glass</t>
  </si>
  <si>
    <t>GG Goodwin, AM Greenhall</t>
  </si>
  <si>
    <t>R Goslin</t>
  </si>
  <si>
    <t>J Gundlach</t>
  </si>
  <si>
    <t>J Haensel</t>
  </si>
  <si>
    <t>WJ Hamilton</t>
  </si>
  <si>
    <t>M Harada, I Sawada, K Aso</t>
  </si>
  <si>
    <t>H Heatwole, JF Arroyo-Salamán, G Hernández</t>
  </si>
  <si>
    <t>LA Hernández-Mijangos</t>
  </si>
  <si>
    <t>CF Herreid, RB Davis</t>
  </si>
  <si>
    <t>WN Wolsworth</t>
  </si>
  <si>
    <t>TY Hong, SY Zhou, JP Ye, ZQ Zhou, GJ Zhu, M Tan, LB Zhang</t>
  </si>
  <si>
    <t>I Horacek</t>
  </si>
  <si>
    <t>KM Howell, JR Mainoya</t>
  </si>
  <si>
    <t>KM Howell</t>
  </si>
  <si>
    <t>MJ Hsu</t>
  </si>
  <si>
    <t>FM Idoeta, LJM de Santis, RM Barquez</t>
  </si>
  <si>
    <t>Y Imaizumi, M Yoshiyuki, K Tsuchiya</t>
  </si>
  <si>
    <t>P Kanuch, A Kristin</t>
  </si>
  <si>
    <t>H Khajuria</t>
  </si>
  <si>
    <t>A Krzanowski</t>
  </si>
  <si>
    <t>F Leblanc, F Taupin</t>
  </si>
  <si>
    <t>OJ Linares</t>
  </si>
  <si>
    <t>A López-Baucells, M Mas, X Puig-Montserrat, C Flaquer</t>
  </si>
  <si>
    <t>R López-Wilchis, MAL Galván</t>
  </si>
  <si>
    <t>F Luo, J Tang, SY Zhang, QC Chen</t>
  </si>
  <si>
    <t>H Mantilla-Meluk, AM Jiménez-Ortega</t>
  </si>
  <si>
    <t>A Marín-Vásquez, M Ortega-Rincón, HE Ramírez-Chaves</t>
  </si>
  <si>
    <t>A Marín-Vásquez, I González-Ibarra, L Gualy, J Díaz</t>
  </si>
  <si>
    <t>S Matis, P Pjencak</t>
  </si>
  <si>
    <t>CJ McCoy</t>
  </si>
  <si>
    <t>C Medina, E López</t>
  </si>
  <si>
    <t>DJ Mejía-Quintanilla, D Gómez-Hoyos, R Seisdedos-de-Vergara, B Rodríguez, J Gongález-Maya</t>
  </si>
  <si>
    <t>GC Melo-Torres, M Salazar-Candelle</t>
  </si>
  <si>
    <t>B Metzger</t>
  </si>
  <si>
    <t>JMD Miranda, NY Kaku-Oliveira, LC Munster, IP Bernardi, RF Moro-Rios, FC Passos</t>
  </si>
  <si>
    <t>HA Mitchell</t>
  </si>
  <si>
    <t>EC Moreira, MCP Silva, JG Veloso</t>
  </si>
  <si>
    <t>M Muñoz-Romo, D Ruiz-Ramoni, P Ramoni-Perazzi</t>
  </si>
  <si>
    <t>D Murariu, G Chisamera</t>
  </si>
  <si>
    <t>NM Naharuddin, N Shazali, R Libar, NF Karim, M Ridwan, A Roslan, MI Azhar, MZ Khalik, FAA Khan</t>
  </si>
  <si>
    <t>HX Niu, HX Ma, XC Zhang</t>
  </si>
  <si>
    <t>Y Obara</t>
  </si>
  <si>
    <t>J Ochoa, J Sanchez</t>
  </si>
  <si>
    <t>G Olarte-González, IM Vela-Vargas, P Camargo, T Johnson, Á Jiménez</t>
  </si>
  <si>
    <t>HFM Oliveira, LMS Aguiar</t>
  </si>
  <si>
    <t>FL Osgood</t>
  </si>
  <si>
    <t>AA Pautasso, MS Bevilaqcua, MR de la Peña, C Ramírez</t>
  </si>
  <si>
    <t>CPozo, JE Escobedo-Cabrera</t>
  </si>
  <si>
    <t>O Prévost, S Ducept, M Gailledrat, N Tranchant</t>
  </si>
  <si>
    <t>H Pryer</t>
  </si>
  <si>
    <t>B Ramasindrazana, DA Wilkinson, M Beral, M Dietrich</t>
  </si>
  <si>
    <t>NN Ramírez, OR Botinelli, RM Ruiz, RS Bastos</t>
  </si>
  <si>
    <t>B Redant</t>
  </si>
  <si>
    <t>EM Rengifo, V Linares, F Díaz, J Panaifo</t>
  </si>
  <si>
    <t>PA Rocha, A Feijó, CR Donato, SF Ferrari</t>
  </si>
  <si>
    <t>A Rodríguez-Durán, TH Kunz</t>
  </si>
  <si>
    <t>GC Rogers</t>
  </si>
  <si>
    <t>MC Romano, ME Montani, MC Cordini, S Auil</t>
  </si>
  <si>
    <t>N Roncancio, HE Ramírez-Chaves</t>
  </si>
  <si>
    <t>AR Rosa, LFA Martorelli, MF Almeida, CC Aires</t>
  </si>
  <si>
    <t>A Rose, SD Brändel, P Cvecko, S Engler, T Hiller, M Knörnschild, M Tschapka</t>
  </si>
  <si>
    <t>D Ruelas, M Ramos, M Molina, V Pacheco</t>
  </si>
  <si>
    <t>A Ruprecht</t>
  </si>
  <si>
    <t>HC Sánchez, W López-Forment, MA Gurrola-Hernández</t>
  </si>
  <si>
    <t>C Sánchez-Hernández, ML Romero-Almaraz, A Taboada-Salgado, JA Almazán-Catalán, GD Schnell, L Sánchez-Vázquez</t>
  </si>
  <si>
    <t>C Sánchez-Hernández, A Rojas-Martínez, JC López-Vidal, C Elizalde-Arellano, ML Romero-Almaraz, M Aguilar-López, A Taboada-Salgado</t>
  </si>
  <si>
    <t>G Schneider</t>
  </si>
  <si>
    <t>JA Sealander</t>
  </si>
  <si>
    <t>HW Setzer</t>
  </si>
  <si>
    <t>DG Smirnov, VP Vehnik, VA Bezrukov</t>
  </si>
  <si>
    <t>DG Smirnov, VP Vehnik, NM Kurmaeva, FZ Baishev</t>
  </si>
  <si>
    <t>HC Smith</t>
  </si>
  <si>
    <t>MM Sodré, W Uieda, M Baldim</t>
  </si>
  <si>
    <t>PJ Soriano, A Utrera, M Sosa</t>
  </si>
  <si>
    <t>RF Souza, RLM Novaes, S Felix, C Sauwen, G Jacob, RT Santori, LS Avilla</t>
  </si>
  <si>
    <t>S Swanson</t>
  </si>
  <si>
    <t>JM Talerico, TS Jung, RMR Barclay, KS Melton</t>
  </si>
  <si>
    <t>C Tello, DG Streicker, J Gomez, PM Velazco</t>
  </si>
  <si>
    <t>H Trapido, PE Crowe</t>
  </si>
  <si>
    <t>JT Treitler, A López-Baucells, SG Farias, JF Tenaçol, R Rocha</t>
  </si>
  <si>
    <t>LA Trujillo, R Barahona</t>
  </si>
  <si>
    <t>MD Tuttle</t>
  </si>
  <si>
    <t>W Uieda</t>
  </si>
  <si>
    <t>V van Laar</t>
  </si>
  <si>
    <t>LA Veiga, AT Oliveira</t>
  </si>
  <si>
    <t>JH Velandia-Perilla, AP Yusti-Muñoz, MA Sánchez-Martínez, A Giraldo</t>
  </si>
  <si>
    <t>J Verschuren</t>
  </si>
  <si>
    <t>HD Walley</t>
  </si>
  <si>
    <t>SS Zalapa, S Guerrero, ML Romero-Almaraz, C Sánchez-Hernández</t>
  </si>
  <si>
    <t>A Zamolo, S Zidar, T Mihelic, J Kotnik</t>
  </si>
  <si>
    <t>J Zukal, Z Rehak, M Macholán</t>
  </si>
  <si>
    <t>WF Blair</t>
  </si>
  <si>
    <r>
      <t xml:space="preserve">A color pattern aberration in </t>
    </r>
    <r>
      <rPr>
        <i/>
        <sz val="8"/>
        <color theme="1"/>
        <rFont val="Calibri"/>
        <family val="2"/>
        <scheme val="minor"/>
      </rPr>
      <t>Pipistrellus subflavus subflavus</t>
    </r>
  </si>
  <si>
    <t>Kendall County, Cascade Cavern</t>
  </si>
  <si>
    <t>A Carruccio</t>
  </si>
  <si>
    <t>Note illustrative al catalogo de' Vertebrati del Modenese</t>
  </si>
  <si>
    <t>Atti della Società dei naturalisti e matematici di Modena</t>
  </si>
  <si>
    <t>Rhinolophus hippocrepis</t>
  </si>
  <si>
    <t>Emilia-Romagna</t>
  </si>
  <si>
    <t>Modena</t>
  </si>
  <si>
    <t>D Dekeukeleire, REA Janssen, J van Schaik</t>
  </si>
  <si>
    <r>
      <t>Frequent melanism in Geoffroy's bat (</t>
    </r>
    <r>
      <rPr>
        <i/>
        <sz val="8"/>
        <color theme="1"/>
        <rFont val="Calibri"/>
        <family val="2"/>
        <scheme val="minor"/>
      </rPr>
      <t>Myotis emarginatus</t>
    </r>
    <r>
      <rPr>
        <sz val="8"/>
        <color theme="1"/>
        <rFont val="Calibri"/>
        <family val="2"/>
        <scheme val="minor"/>
      </rPr>
      <t>, Geoffroy 1806)</t>
    </r>
  </si>
  <si>
    <t>Koelenbosch groeve</t>
  </si>
  <si>
    <t>Groeve de Hel</t>
  </si>
  <si>
    <t>Vallenberg groeve</t>
  </si>
  <si>
    <t>T Hong, Y Gong, J Yang, H Hu, L Zhang</t>
  </si>
  <si>
    <r>
      <t xml:space="preserve">Partial albino bats of </t>
    </r>
    <r>
      <rPr>
        <i/>
        <sz val="8"/>
        <color theme="1"/>
        <rFont val="Calibri"/>
        <family val="2"/>
        <scheme val="minor"/>
      </rPr>
      <t xml:space="preserve">Miniopterus pusillus </t>
    </r>
    <r>
      <rPr>
        <sz val="8"/>
        <color theme="1"/>
        <rFont val="Calibri"/>
        <family val="2"/>
        <scheme val="minor"/>
      </rPr>
      <t xml:space="preserve">and </t>
    </r>
    <r>
      <rPr>
        <i/>
        <sz val="8"/>
        <color theme="1"/>
        <rFont val="Calibri"/>
        <family val="2"/>
        <scheme val="minor"/>
      </rPr>
      <t xml:space="preserve">Hipposideros pomona </t>
    </r>
    <r>
      <rPr>
        <sz val="8"/>
        <color theme="1"/>
        <rFont val="Calibri"/>
        <family val="2"/>
        <scheme val="minor"/>
      </rPr>
      <t>found in Guangdong Province</t>
    </r>
  </si>
  <si>
    <t>Acta Theriologica Sinica</t>
  </si>
  <si>
    <t>Zengcheng</t>
  </si>
  <si>
    <t>Guangdong</t>
  </si>
  <si>
    <t>Conghua</t>
  </si>
  <si>
    <t>Atti Della Società Italiana di Scienze Naturali</t>
  </si>
  <si>
    <t>I Chirotteri del mezzogiorno d'Italia</t>
  </si>
  <si>
    <t>S Monticelli</t>
  </si>
  <si>
    <t>Campania</t>
  </si>
  <si>
    <t>Portici</t>
  </si>
  <si>
    <t>Melanistic pipistrelles</t>
  </si>
  <si>
    <t>RE Stebbings</t>
  </si>
  <si>
    <t>Observations during sixteen years on winter roosts of bats in West Suffolk</t>
  </si>
  <si>
    <t>England</t>
  </si>
  <si>
    <t>Suffolk</t>
  </si>
  <si>
    <t>Bury St Edmunds</t>
  </si>
  <si>
    <t>LC Watkins</t>
  </si>
  <si>
    <r>
      <t>Observations on the distribution and natural history of the evening bat (</t>
    </r>
    <r>
      <rPr>
        <i/>
        <sz val="8"/>
        <color theme="1"/>
        <rFont val="Calibri"/>
        <family val="2"/>
        <scheme val="minor"/>
      </rPr>
      <t>Nycticeius humeralis</t>
    </r>
    <r>
      <rPr>
        <sz val="8"/>
        <color theme="1"/>
        <rFont val="Calibri"/>
        <family val="2"/>
        <scheme val="minor"/>
      </rPr>
      <t>) in northwestern Missouri and adjacent Iowa</t>
    </r>
  </si>
  <si>
    <t>Transactions of the Kansas Academy of Science</t>
  </si>
  <si>
    <t>AS Reis, RA Zampaulo, SA Talamoni</t>
  </si>
  <si>
    <r>
      <t xml:space="preserve">Frequency of leucism in a colony of </t>
    </r>
    <r>
      <rPr>
        <i/>
        <sz val="8"/>
        <color theme="1"/>
        <rFont val="Calibri"/>
        <family val="2"/>
        <scheme val="minor"/>
      </rPr>
      <t xml:space="preserve">Anoura geoffroyi </t>
    </r>
    <r>
      <rPr>
        <sz val="8"/>
        <color theme="1"/>
        <rFont val="Calibri"/>
        <family val="2"/>
        <scheme val="minor"/>
      </rPr>
      <t>(Chiroptera: Phyllostomidae) roosting in a ferruginous cave in Brazil</t>
    </r>
  </si>
  <si>
    <t>e20180676</t>
  </si>
  <si>
    <t>Biota Neotropica</t>
  </si>
  <si>
    <t>Brumadinho, cave MJ-05</t>
  </si>
  <si>
    <t>Lucati &amp; López-Baucells 2017</t>
  </si>
  <si>
    <t>Dorst 1957b</t>
  </si>
  <si>
    <t>Leblanc &amp; Taupin 2005</t>
  </si>
  <si>
    <t>Prévost et al 2011</t>
  </si>
  <si>
    <t>Uieda 2000</t>
  </si>
  <si>
    <t>Redant 2002</t>
  </si>
  <si>
    <t>Gaisler et al 2011</t>
  </si>
  <si>
    <t>Bartonicka &amp; Buric 2007</t>
  </si>
  <si>
    <t>Carruccio 1883</t>
  </si>
  <si>
    <t>Cichocki et al 2017</t>
  </si>
  <si>
    <t>Danko 1995</t>
  </si>
  <si>
    <t>Horacek 1995</t>
  </si>
  <si>
    <t>Aul &amp; Marimuthu 2006</t>
  </si>
  <si>
    <t>Howell &amp; Mainoya 1974</t>
  </si>
  <si>
    <t>Howell 1980</t>
  </si>
  <si>
    <t>Khajuria 1972</t>
  </si>
  <si>
    <t>Devkar et al 2011</t>
  </si>
  <si>
    <t>Bhati 1988</t>
  </si>
  <si>
    <t>Bernardi et al 2019</t>
  </si>
  <si>
    <t>Verschuren 1955</t>
  </si>
  <si>
    <t>Gamba-Rios 2010</t>
  </si>
  <si>
    <t>Ramírez et al 2010</t>
  </si>
  <si>
    <t>Moreira et al 1992</t>
  </si>
  <si>
    <t>Uieda 2001</t>
  </si>
  <si>
    <t>Sánchez-Hernández et al 2010</t>
  </si>
  <si>
    <t>Goodwin &amp; Greenhall 1964</t>
  </si>
  <si>
    <t>Zortéa &amp; Silva 2018</t>
  </si>
  <si>
    <t>Brito &amp; León 2014</t>
  </si>
  <si>
    <t>Setzer 1950</t>
  </si>
  <si>
    <t>Schneider 1925</t>
  </si>
  <si>
    <t>Falcão 2014</t>
  </si>
  <si>
    <t>Rosa et al 2017</t>
  </si>
  <si>
    <t>Calderón-Álvarez &amp; Marín-Vásquez 2018</t>
  </si>
  <si>
    <t>Pozo &amp; Escobedo-Cabrera 1998</t>
  </si>
  <si>
    <t>Oliveira &amp; Aguiar 2008</t>
  </si>
  <si>
    <t>Barquez et al 2003</t>
  </si>
  <si>
    <t>Mantilla-Meluk &amp; Jiménez-Ortega 2011</t>
  </si>
  <si>
    <t>Pryer 1884</t>
  </si>
  <si>
    <t>Sodré et al 2004</t>
  </si>
  <si>
    <t>Nascimento et al 2018</t>
  </si>
  <si>
    <t>Geiger &amp; Pacheco 2006</t>
  </si>
  <si>
    <t>Tello et al 2014</t>
  </si>
  <si>
    <t>Heatwole et al 1964</t>
  </si>
  <si>
    <t>Soriano et al 1993</t>
  </si>
  <si>
    <t>Rengifo et al 2014</t>
  </si>
  <si>
    <t>Ramasindrazana et al 2014</t>
  </si>
  <si>
    <t>Romano et al 2015</t>
  </si>
  <si>
    <t>McCoy 1960</t>
  </si>
  <si>
    <t>Herreid &amp; Davis 1960</t>
  </si>
  <si>
    <t>Smith 1968</t>
  </si>
  <si>
    <t>Pautasso et al 2009</t>
  </si>
  <si>
    <t>Smirnov et al 2014</t>
  </si>
  <si>
    <t>López-Baucells et al 2013</t>
  </si>
  <si>
    <t>Hsu 2003</t>
  </si>
  <si>
    <t>Zukal et al 1994</t>
  </si>
  <si>
    <t>Buys et al 2002</t>
  </si>
  <si>
    <t>Smith 1982</t>
  </si>
  <si>
    <t>Talerico et al 2008</t>
  </si>
  <si>
    <t>Walley 1974</t>
  </si>
  <si>
    <t>Harada et al 1991</t>
  </si>
  <si>
    <t>Kanuch &amp; Kristin 2003</t>
  </si>
  <si>
    <t>Caire &amp; Thies 1988</t>
  </si>
  <si>
    <t>Idoeta et al 2011</t>
  </si>
  <si>
    <t>Acosta et al 2011</t>
  </si>
  <si>
    <t>Treitler et al 2013</t>
  </si>
  <si>
    <t>Borloti et al 2019</t>
  </si>
  <si>
    <t>Miranda et al 2010</t>
  </si>
  <si>
    <t>Souza et al 2013</t>
  </si>
  <si>
    <t>Biassi et al 2017</t>
  </si>
  <si>
    <t>Rocha et al 2013</t>
  </si>
  <si>
    <t>Marin-Vasquez et al 2010</t>
  </si>
  <si>
    <t>Roncancio &amp; Ramírez-Chaves 2008</t>
  </si>
  <si>
    <t>Chacón et al 2015</t>
  </si>
  <si>
    <t>Velandia-Perilla et al 2013</t>
  </si>
  <si>
    <t>Calderón-Álvarez &amp; Marin-Vasquez 2018</t>
  </si>
  <si>
    <t>Olarte-González et al 2014</t>
  </si>
  <si>
    <t>Zalapa et al 2016</t>
  </si>
  <si>
    <t>Mejía-Quintanilla et al 2017</t>
  </si>
  <si>
    <t>Córdova et al 2017</t>
  </si>
  <si>
    <t>Trujillo &amp; Barahona 2014</t>
  </si>
  <si>
    <t>Hernández-Mijangos 2009</t>
  </si>
  <si>
    <t>Sánchez-Hernández et al 2012</t>
  </si>
  <si>
    <t>García-Morales et al 2012</t>
  </si>
  <si>
    <t>López-Wilchis &amp; Galván 2012</t>
  </si>
  <si>
    <t>García-Morales et al 2010</t>
  </si>
  <si>
    <t>Ruelas et al 2016</t>
  </si>
  <si>
    <t>Medina &amp; López 2010</t>
  </si>
  <si>
    <t>Mammals of South America v1</t>
  </si>
  <si>
    <t>Muñoz-Romo et al 2014</t>
  </si>
  <si>
    <t>Melo-Torres &amp; Salazar-Candelle 2016</t>
  </si>
  <si>
    <t>Luo et al 2007</t>
  </si>
  <si>
    <t>Hong et al 2009</t>
  </si>
  <si>
    <t>Niu et al 2008</t>
  </si>
  <si>
    <t>GeoHack</t>
  </si>
  <si>
    <t>Naharuddin et al 2015</t>
  </si>
  <si>
    <t>Dekeukeleire et al 2013</t>
  </si>
  <si>
    <t>Reis et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</si>
</sst>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 applyFont="1" applyAlignment="1"/>
    <xf numFmtId="0" fontId="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164" fontId="6" fillId="0" borderId="0" xfId="1" applyNumberFormat="1" applyFont="1" applyAlignment="1">
      <alignment horizontal="left" vertical="top"/>
    </xf>
    <xf numFmtId="164" fontId="6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1.25" x14ac:dyDescent="0.2"/>
  <cols>
    <col min="1" max="1" width="5.83203125" style="5" customWidth="1"/>
    <col min="2" max="2" width="15.33203125" style="5" bestFit="1" customWidth="1"/>
    <col min="3" max="4" width="13.83203125" bestFit="1" customWidth="1"/>
    <col min="5" max="5" width="9.33203125" style="4"/>
    <col min="6" max="6" width="26.1640625" style="4" bestFit="1" customWidth="1"/>
    <col min="7" max="7" width="15.83203125" bestFit="1" customWidth="1"/>
    <col min="8" max="8" width="19.33203125" style="4" bestFit="1" customWidth="1"/>
    <col min="9" max="9" width="13.83203125" bestFit="1" customWidth="1"/>
    <col min="10" max="10" width="9.33203125" style="8"/>
    <col min="11" max="11" width="9.33203125" style="9"/>
    <col min="12" max="13" width="9.33203125" style="10"/>
    <col min="14" max="14" width="9.33203125" style="8"/>
    <col min="15" max="15" width="12.5" style="8" customWidth="1"/>
    <col min="17" max="17" width="9.33203125" style="8"/>
    <col min="20" max="21" width="12" style="5" customWidth="1"/>
    <col min="22" max="22" width="6.83203125" style="5" customWidth="1"/>
    <col min="23" max="23" width="32.5" bestFit="1" customWidth="1"/>
    <col min="24" max="24" width="9.5" style="5" bestFit="1" customWidth="1"/>
    <col min="25" max="25" width="39.6640625" style="11" bestFit="1" customWidth="1"/>
    <col min="26" max="26" width="6.83203125" style="5" customWidth="1"/>
  </cols>
  <sheetData>
    <row r="1" spans="1:27" s="1" customFormat="1" ht="30" customHeight="1" x14ac:dyDescent="0.2">
      <c r="A1" s="1" t="s">
        <v>0</v>
      </c>
      <c r="B1" s="28" t="s">
        <v>878</v>
      </c>
      <c r="C1" s="28" t="s">
        <v>1</v>
      </c>
      <c r="D1" s="28" t="s">
        <v>2</v>
      </c>
      <c r="E1" s="28" t="s">
        <v>3</v>
      </c>
      <c r="F1" s="1" t="s">
        <v>4</v>
      </c>
      <c r="G1" s="28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2" t="s">
        <v>188</v>
      </c>
      <c r="P1" s="1" t="s">
        <v>13</v>
      </c>
      <c r="Q1" s="1" t="s">
        <v>14</v>
      </c>
      <c r="R1" s="2" t="s">
        <v>15</v>
      </c>
      <c r="S1" s="1" t="s">
        <v>16</v>
      </c>
      <c r="T1" s="28" t="s">
        <v>17</v>
      </c>
      <c r="U1" s="28" t="s">
        <v>18</v>
      </c>
      <c r="V1" s="28" t="s">
        <v>139</v>
      </c>
      <c r="W1" s="1" t="s">
        <v>19</v>
      </c>
      <c r="X1" s="1" t="s">
        <v>20</v>
      </c>
      <c r="Y1" s="1" t="s">
        <v>888</v>
      </c>
      <c r="Z1" s="1" t="s">
        <v>20</v>
      </c>
      <c r="AA1" s="1" t="s">
        <v>21</v>
      </c>
    </row>
    <row r="2" spans="1:27" x14ac:dyDescent="0.2">
      <c r="A2" s="5">
        <v>471</v>
      </c>
      <c r="B2" s="29" t="s">
        <v>882</v>
      </c>
      <c r="C2" s="29" t="s">
        <v>125</v>
      </c>
      <c r="D2" s="29" t="s">
        <v>883</v>
      </c>
      <c r="E2" s="30" t="s">
        <v>99</v>
      </c>
      <c r="F2" s="4" t="s">
        <v>61</v>
      </c>
      <c r="G2" s="29" t="s">
        <v>147</v>
      </c>
      <c r="H2" s="4" t="s">
        <v>107</v>
      </c>
      <c r="I2" t="s">
        <v>150</v>
      </c>
      <c r="J2" s="4" t="s">
        <v>107</v>
      </c>
      <c r="K2" s="9" t="s">
        <v>107</v>
      </c>
      <c r="L2" s="10" t="s">
        <v>107</v>
      </c>
      <c r="M2" s="10" t="s">
        <v>156</v>
      </c>
      <c r="N2" s="9" t="s">
        <v>107</v>
      </c>
      <c r="O2" s="9" t="s">
        <v>107</v>
      </c>
      <c r="P2" s="9" t="s">
        <v>157</v>
      </c>
      <c r="Q2" s="9" t="s">
        <v>128</v>
      </c>
      <c r="R2" s="9" t="s">
        <v>107</v>
      </c>
      <c r="S2" s="9" t="s">
        <v>107</v>
      </c>
      <c r="T2" s="34" t="str">
        <f t="array" ref="T2">INDEX(Gazetteer!$T$3:$T$9941,MATCH(1,(Q2=Gazetteer!$C$3:$C$9941)*(R2=Gazetteer!$D$3:$D$9941)*(S2=Gazetteer!$E$3:$E$9941),0))</f>
        <v>-</v>
      </c>
      <c r="U2" s="34" t="str">
        <f t="array" ref="U2">INDEX(Gazetteer!$U$3:$U$9941,MATCH(1,(Q2=Gazetteer!$C$3:$C$9941)*(R2=Gazetteer!$D$3:$D$9941)*(S2=Gazetteer!$E$3:$E$9941),0))</f>
        <v>-</v>
      </c>
      <c r="V2" s="34">
        <f>INDEX(Ref!C:C,MATCH(W2,Ref!B:B,0))</f>
        <v>2017</v>
      </c>
      <c r="W2" s="36" t="s">
        <v>1165</v>
      </c>
      <c r="X2" s="5" t="s">
        <v>957</v>
      </c>
      <c r="Y2" s="11" t="s">
        <v>151</v>
      </c>
      <c r="Z2" s="5" t="s">
        <v>107</v>
      </c>
      <c r="AA2" t="s">
        <v>107</v>
      </c>
    </row>
    <row r="3" spans="1:27" x14ac:dyDescent="0.2">
      <c r="A3" s="5">
        <v>472</v>
      </c>
      <c r="B3" s="29" t="s">
        <v>880</v>
      </c>
      <c r="C3" s="29" t="s">
        <v>105</v>
      </c>
      <c r="D3" s="29" t="s">
        <v>107</v>
      </c>
      <c r="E3" s="30" t="s">
        <v>71</v>
      </c>
      <c r="F3" s="4" t="s">
        <v>22</v>
      </c>
      <c r="G3" s="29" t="s">
        <v>155</v>
      </c>
      <c r="H3" s="4" t="s">
        <v>107</v>
      </c>
      <c r="I3" t="s">
        <v>150</v>
      </c>
      <c r="J3" s="4" t="s">
        <v>107</v>
      </c>
      <c r="K3" s="9" t="s">
        <v>107</v>
      </c>
      <c r="L3" s="10" t="s">
        <v>107</v>
      </c>
      <c r="M3" s="10" t="s">
        <v>156</v>
      </c>
      <c r="N3" s="9" t="s">
        <v>107</v>
      </c>
      <c r="O3" s="9" t="s">
        <v>107</v>
      </c>
      <c r="P3" s="9" t="s">
        <v>157</v>
      </c>
      <c r="Q3" s="9" t="s">
        <v>164</v>
      </c>
      <c r="R3" s="9" t="s">
        <v>107</v>
      </c>
      <c r="S3" s="9" t="s">
        <v>107</v>
      </c>
      <c r="T3" s="34" t="str">
        <f t="array" ref="T3">INDEX(Gazetteer!$T$3:$T$9941,MATCH(1,(Q3=Gazetteer!$C$3:$C$9941)*(R3=Gazetteer!$D$3:$D$9941)*(S3=Gazetteer!$E$3:$E$9941),0))</f>
        <v>-</v>
      </c>
      <c r="U3" s="34" t="str">
        <f t="array" ref="U3">INDEX(Gazetteer!$U$3:$U$9941,MATCH(1,(Q3=Gazetteer!$C$3:$C$9941)*(R3=Gazetteer!$D$3:$D$9941)*(S3=Gazetteer!$E$3:$E$9941),0))</f>
        <v>-</v>
      </c>
      <c r="V3" s="34">
        <f>INDEX(Ref!C:C,MATCH(W3,Ref!B:B,0))</f>
        <v>2017</v>
      </c>
      <c r="W3" s="36" t="s">
        <v>1165</v>
      </c>
      <c r="X3" s="5" t="s">
        <v>957</v>
      </c>
      <c r="Y3" s="11" t="s">
        <v>895</v>
      </c>
      <c r="Z3" s="5" t="s">
        <v>107</v>
      </c>
      <c r="AA3" t="s">
        <v>107</v>
      </c>
    </row>
    <row r="4" spans="1:27" x14ac:dyDescent="0.2">
      <c r="A4" s="5">
        <v>293</v>
      </c>
      <c r="B4" s="29" t="s">
        <v>880</v>
      </c>
      <c r="C4" s="29" t="s">
        <v>105</v>
      </c>
      <c r="D4" s="29" t="s">
        <v>107</v>
      </c>
      <c r="E4" s="30" t="s">
        <v>71</v>
      </c>
      <c r="F4" s="4" t="s">
        <v>899</v>
      </c>
      <c r="G4" s="29" t="s">
        <v>900</v>
      </c>
      <c r="H4" s="4" t="s">
        <v>107</v>
      </c>
      <c r="I4" t="s">
        <v>150</v>
      </c>
      <c r="J4" s="4" t="s">
        <v>107</v>
      </c>
      <c r="K4" s="9" t="s">
        <v>107</v>
      </c>
      <c r="L4" s="10" t="s">
        <v>107</v>
      </c>
      <c r="M4" s="10" t="s">
        <v>130</v>
      </c>
      <c r="N4" s="9" t="s">
        <v>107</v>
      </c>
      <c r="O4" s="9" t="s">
        <v>107</v>
      </c>
      <c r="P4" s="9" t="s">
        <v>107</v>
      </c>
      <c r="Q4" s="9" t="s">
        <v>456</v>
      </c>
      <c r="R4" s="9" t="s">
        <v>902</v>
      </c>
      <c r="S4" s="9" t="s">
        <v>903</v>
      </c>
      <c r="T4" s="34" t="str">
        <f t="array" ref="T4">INDEX(Gazetteer!$T$3:$T$9941,MATCH(1,(Q4=Gazetteer!$C$3:$C$9941)*(R4=Gazetteer!$D$3:$D$9941)*(S4=Gazetteer!$E$3:$E$9941),0))</f>
        <v>47º27.00′N</v>
      </c>
      <c r="U4" s="34" t="str">
        <f t="array" ref="U4">INDEX(Gazetteer!$U$3:$U$9941,MATCH(1,(Q4=Gazetteer!$C$3:$C$9941)*(R4=Gazetteer!$D$3:$D$9941)*(S4=Gazetteer!$E$3:$E$9941),0))</f>
        <v>000º36.00′E</v>
      </c>
      <c r="V4" s="34">
        <f>INDEX(Ref!C:C,MATCH(W4,Ref!B:B,0))</f>
        <v>1957</v>
      </c>
      <c r="W4" s="37" t="s">
        <v>1166</v>
      </c>
      <c r="X4" s="5">
        <v>306</v>
      </c>
      <c r="Y4" s="11" t="s">
        <v>107</v>
      </c>
      <c r="Z4" s="5" t="s">
        <v>107</v>
      </c>
      <c r="AA4" t="s">
        <v>107</v>
      </c>
    </row>
    <row r="5" spans="1:27" x14ac:dyDescent="0.2">
      <c r="A5" s="5">
        <v>477</v>
      </c>
      <c r="B5" s="29" t="s">
        <v>880</v>
      </c>
      <c r="C5" s="29" t="s">
        <v>105</v>
      </c>
      <c r="D5" s="29" t="s">
        <v>107</v>
      </c>
      <c r="E5" s="30" t="s">
        <v>71</v>
      </c>
      <c r="F5" s="4" t="s">
        <v>62</v>
      </c>
      <c r="G5" s="29" t="s">
        <v>169</v>
      </c>
      <c r="H5" s="4" t="s">
        <v>107</v>
      </c>
      <c r="I5" t="s">
        <v>150</v>
      </c>
      <c r="J5" s="4" t="s">
        <v>107</v>
      </c>
      <c r="K5" s="9" t="s">
        <v>107</v>
      </c>
      <c r="L5" s="10" t="s">
        <v>107</v>
      </c>
      <c r="M5" s="10" t="s">
        <v>107</v>
      </c>
      <c r="N5" s="9" t="s">
        <v>107</v>
      </c>
      <c r="O5" s="9" t="s">
        <v>107</v>
      </c>
      <c r="P5" s="9" t="s">
        <v>107</v>
      </c>
      <c r="Q5" s="9" t="s">
        <v>456</v>
      </c>
      <c r="R5" s="9" t="s">
        <v>107</v>
      </c>
      <c r="S5" s="9" t="s">
        <v>107</v>
      </c>
      <c r="T5" s="34" t="str">
        <f t="array" ref="T5">INDEX(Gazetteer!$T$3:$T$9941,MATCH(1,(Q5=Gazetteer!$C$3:$C$9941)*(R5=Gazetteer!$D$3:$D$9941)*(S5=Gazetteer!$E$3:$E$9941),0))</f>
        <v>-</v>
      </c>
      <c r="U5" s="34" t="str">
        <f t="array" ref="U5">INDEX(Gazetteer!$U$3:$U$9941,MATCH(1,(Q5=Gazetteer!$C$3:$C$9941)*(R5=Gazetteer!$D$3:$D$9941)*(S5=Gazetteer!$E$3:$E$9941),0))</f>
        <v>-</v>
      </c>
      <c r="V5" s="34">
        <f>INDEX(Ref!C:C,MATCH(W5,Ref!B:B,0))</f>
        <v>2017</v>
      </c>
      <c r="W5" s="36" t="s">
        <v>1165</v>
      </c>
      <c r="X5" s="5" t="s">
        <v>957</v>
      </c>
      <c r="Y5" s="11" t="s">
        <v>971</v>
      </c>
      <c r="Z5" s="5" t="s">
        <v>107</v>
      </c>
      <c r="AA5" t="s">
        <v>107</v>
      </c>
    </row>
    <row r="6" spans="1:27" x14ac:dyDescent="0.2">
      <c r="A6" s="5">
        <v>478</v>
      </c>
      <c r="B6" s="29" t="s">
        <v>880</v>
      </c>
      <c r="C6" s="29" t="s">
        <v>105</v>
      </c>
      <c r="D6" s="29" t="s">
        <v>107</v>
      </c>
      <c r="E6" s="30" t="s">
        <v>71</v>
      </c>
      <c r="F6" s="4" t="s">
        <v>62</v>
      </c>
      <c r="G6" s="29" t="s">
        <v>169</v>
      </c>
      <c r="H6" s="4" t="s">
        <v>107</v>
      </c>
      <c r="I6" t="s">
        <v>150</v>
      </c>
      <c r="J6" s="4" t="s">
        <v>107</v>
      </c>
      <c r="K6" s="9" t="s">
        <v>107</v>
      </c>
      <c r="L6" s="10" t="s">
        <v>107</v>
      </c>
      <c r="M6" s="10" t="s">
        <v>130</v>
      </c>
      <c r="N6" s="9" t="s">
        <v>107</v>
      </c>
      <c r="O6" s="9" t="s">
        <v>107</v>
      </c>
      <c r="P6" s="9" t="s">
        <v>178</v>
      </c>
      <c r="Q6" s="9" t="s">
        <v>456</v>
      </c>
      <c r="R6" s="9" t="s">
        <v>107</v>
      </c>
      <c r="S6" s="9" t="s">
        <v>107</v>
      </c>
      <c r="T6" s="34" t="str">
        <f t="array" ref="T6">INDEX(Gazetteer!$T$3:$T$9941,MATCH(1,(Q6=Gazetteer!$C$3:$C$9941)*(R6=Gazetteer!$D$3:$D$9941)*(S6=Gazetteer!$E$3:$E$9941),0))</f>
        <v>-</v>
      </c>
      <c r="U6" s="34" t="str">
        <f t="array" ref="U6">INDEX(Gazetteer!$U$3:$U$9941,MATCH(1,(Q6=Gazetteer!$C$3:$C$9941)*(R6=Gazetteer!$D$3:$D$9941)*(S6=Gazetteer!$E$3:$E$9941),0))</f>
        <v>-</v>
      </c>
      <c r="V6" s="34">
        <f>INDEX(Ref!C:C,MATCH(W6,Ref!B:B,0))</f>
        <v>2017</v>
      </c>
      <c r="W6" s="36" t="s">
        <v>1165</v>
      </c>
      <c r="X6" s="5" t="s">
        <v>957</v>
      </c>
      <c r="Y6" s="11" t="s">
        <v>972</v>
      </c>
      <c r="Z6" s="5" t="s">
        <v>107</v>
      </c>
      <c r="AA6" t="s">
        <v>107</v>
      </c>
    </row>
    <row r="7" spans="1:27" x14ac:dyDescent="0.2">
      <c r="A7" s="5">
        <v>245</v>
      </c>
      <c r="B7" s="29" t="s">
        <v>880</v>
      </c>
      <c r="C7" s="29" t="s">
        <v>105</v>
      </c>
      <c r="D7" s="29" t="s">
        <v>107</v>
      </c>
      <c r="E7" s="30" t="s">
        <v>71</v>
      </c>
      <c r="F7" s="4" t="s">
        <v>62</v>
      </c>
      <c r="G7" s="29" t="s">
        <v>169</v>
      </c>
      <c r="H7" s="4" t="s">
        <v>107</v>
      </c>
      <c r="I7" t="s">
        <v>150</v>
      </c>
      <c r="J7" s="4" t="s">
        <v>107</v>
      </c>
      <c r="K7" s="9" t="s">
        <v>107</v>
      </c>
      <c r="L7" s="10" t="s">
        <v>107</v>
      </c>
      <c r="M7" s="10" t="s">
        <v>107</v>
      </c>
      <c r="N7" s="9" t="s">
        <v>107</v>
      </c>
      <c r="O7" s="9" t="s">
        <v>107</v>
      </c>
      <c r="P7" s="9" t="s">
        <v>107</v>
      </c>
      <c r="Q7" s="9" t="s">
        <v>456</v>
      </c>
      <c r="R7" s="9" t="s">
        <v>772</v>
      </c>
      <c r="S7" s="9" t="s">
        <v>773</v>
      </c>
      <c r="T7" s="34" t="str">
        <f t="array" ref="T7">INDEX(Gazetteer!$T$3:$T$9941,MATCH(1,(Q7=Gazetteer!$C$3:$C$9941)*(R7=Gazetteer!$D$3:$D$9941)*(S7=Gazetteer!$E$3:$E$9941),0))</f>
        <v>-</v>
      </c>
      <c r="U7" s="34" t="str">
        <f t="array" ref="U7">INDEX(Gazetteer!$U$3:$U$9941,MATCH(1,(Q7=Gazetteer!$C$3:$C$9941)*(R7=Gazetteer!$D$3:$D$9941)*(S7=Gazetteer!$E$3:$E$9941),0))</f>
        <v>-</v>
      </c>
      <c r="V7" s="34">
        <f>INDEX(Ref!C:C,MATCH(W7,Ref!B:B,0))</f>
        <v>2005</v>
      </c>
      <c r="W7" s="38" t="s">
        <v>1167</v>
      </c>
      <c r="X7" s="5">
        <v>25</v>
      </c>
      <c r="Y7" s="11" t="s">
        <v>107</v>
      </c>
      <c r="Z7" s="5" t="s">
        <v>107</v>
      </c>
      <c r="AA7" t="s">
        <v>107</v>
      </c>
    </row>
    <row r="8" spans="1:27" x14ac:dyDescent="0.2">
      <c r="A8" s="5">
        <v>244</v>
      </c>
      <c r="B8" s="29" t="s">
        <v>880</v>
      </c>
      <c r="C8" s="29" t="s">
        <v>105</v>
      </c>
      <c r="D8" s="29" t="s">
        <v>107</v>
      </c>
      <c r="E8" s="30" t="s">
        <v>71</v>
      </c>
      <c r="F8" s="4" t="s">
        <v>62</v>
      </c>
      <c r="G8" s="29" t="s">
        <v>169</v>
      </c>
      <c r="H8" s="4" t="s">
        <v>107</v>
      </c>
      <c r="I8" t="s">
        <v>150</v>
      </c>
      <c r="J8" s="4" t="s">
        <v>107</v>
      </c>
      <c r="K8" s="9" t="s">
        <v>107</v>
      </c>
      <c r="L8" s="10" t="s">
        <v>107</v>
      </c>
      <c r="M8" s="10" t="s">
        <v>107</v>
      </c>
      <c r="N8" s="9" t="s">
        <v>107</v>
      </c>
      <c r="O8" s="9" t="s">
        <v>107</v>
      </c>
      <c r="P8" s="9" t="s">
        <v>107</v>
      </c>
      <c r="Q8" s="9" t="s">
        <v>456</v>
      </c>
      <c r="R8" s="9" t="s">
        <v>770</v>
      </c>
      <c r="S8" s="9" t="s">
        <v>771</v>
      </c>
      <c r="T8" s="34" t="str">
        <f t="array" ref="T8">INDEX(Gazetteer!$T$3:$T$9941,MATCH(1,(Q8=Gazetteer!$C$3:$C$9941)*(R8=Gazetteer!$D$3:$D$9941)*(S8=Gazetteer!$E$3:$E$9941),0))</f>
        <v>48º27.37′N</v>
      </c>
      <c r="U8" s="34" t="str">
        <f t="array" ref="U8">INDEX(Gazetteer!$U$3:$U$9941,MATCH(1,(Q8=Gazetteer!$C$3:$C$9941)*(R8=Gazetteer!$D$3:$D$9941)*(S8=Gazetteer!$E$3:$E$9941),0))</f>
        <v>001º29.03′E</v>
      </c>
      <c r="V8" s="34">
        <f>INDEX(Ref!C:C,MATCH(W8,Ref!B:B,0))</f>
        <v>2005</v>
      </c>
      <c r="W8" s="38" t="s">
        <v>1167</v>
      </c>
      <c r="X8" s="5">
        <v>25</v>
      </c>
      <c r="Y8" s="11" t="s">
        <v>107</v>
      </c>
      <c r="Z8" s="5" t="s">
        <v>107</v>
      </c>
      <c r="AA8" t="s">
        <v>107</v>
      </c>
    </row>
    <row r="9" spans="1:27" x14ac:dyDescent="0.2">
      <c r="A9" s="5">
        <v>250</v>
      </c>
      <c r="B9" s="29" t="s">
        <v>880</v>
      </c>
      <c r="C9" s="29" t="s">
        <v>105</v>
      </c>
      <c r="D9" s="29" t="s">
        <v>107</v>
      </c>
      <c r="E9" s="30" t="s">
        <v>71</v>
      </c>
      <c r="F9" s="4" t="s">
        <v>62</v>
      </c>
      <c r="G9" s="29" t="s">
        <v>169</v>
      </c>
      <c r="H9" s="4" t="s">
        <v>107</v>
      </c>
      <c r="I9" t="s">
        <v>150</v>
      </c>
      <c r="J9" s="4" t="s">
        <v>107</v>
      </c>
      <c r="K9" s="9" t="s">
        <v>107</v>
      </c>
      <c r="L9" s="10" t="s">
        <v>107</v>
      </c>
      <c r="M9" s="10" t="s">
        <v>107</v>
      </c>
      <c r="N9" s="9" t="s">
        <v>107</v>
      </c>
      <c r="O9" s="9" t="s">
        <v>107</v>
      </c>
      <c r="P9" s="9" t="s">
        <v>107</v>
      </c>
      <c r="Q9" s="9" t="s">
        <v>456</v>
      </c>
      <c r="R9" s="9" t="s">
        <v>770</v>
      </c>
      <c r="S9" s="9" t="s">
        <v>783</v>
      </c>
      <c r="T9" s="34" t="str">
        <f t="array" ref="T9">INDEX(Gazetteer!$T$3:$T$9941,MATCH(1,(Q9=Gazetteer!$C$3:$C$9941)*(R9=Gazetteer!$D$3:$D$9941)*(S9=Gazetteer!$E$3:$E$9941),0))</f>
        <v>-</v>
      </c>
      <c r="U9" s="34" t="str">
        <f t="array" ref="U9">INDEX(Gazetteer!$U$3:$U$9941,MATCH(1,(Q9=Gazetteer!$C$3:$C$9941)*(R9=Gazetteer!$D$3:$D$9941)*(S9=Gazetteer!$E$3:$E$9941),0))</f>
        <v>-</v>
      </c>
      <c r="V9" s="34">
        <f>INDEX(Ref!C:C,MATCH(W9,Ref!B:B,0))</f>
        <v>2002</v>
      </c>
      <c r="W9" s="36" t="s">
        <v>972</v>
      </c>
      <c r="X9" s="5">
        <v>3</v>
      </c>
      <c r="Y9" s="11" t="s">
        <v>107</v>
      </c>
      <c r="Z9" s="5" t="s">
        <v>107</v>
      </c>
      <c r="AA9" t="s">
        <v>107</v>
      </c>
    </row>
    <row r="10" spans="1:27" x14ac:dyDescent="0.2">
      <c r="A10" s="5">
        <v>253</v>
      </c>
      <c r="B10" s="29" t="s">
        <v>880</v>
      </c>
      <c r="C10" s="29" t="s">
        <v>105</v>
      </c>
      <c r="D10" s="29" t="s">
        <v>107</v>
      </c>
      <c r="E10" s="30" t="s">
        <v>71</v>
      </c>
      <c r="F10" s="4" t="s">
        <v>62</v>
      </c>
      <c r="G10" s="29" t="s">
        <v>169</v>
      </c>
      <c r="H10" s="4" t="s">
        <v>107</v>
      </c>
      <c r="I10" t="s">
        <v>150</v>
      </c>
      <c r="J10" s="4" t="s">
        <v>107</v>
      </c>
      <c r="K10" s="9" t="s">
        <v>107</v>
      </c>
      <c r="L10" s="10" t="s">
        <v>107</v>
      </c>
      <c r="M10" s="10" t="s">
        <v>107</v>
      </c>
      <c r="N10" s="9" t="s">
        <v>107</v>
      </c>
      <c r="O10" s="9" t="s">
        <v>107</v>
      </c>
      <c r="P10" s="9" t="s">
        <v>157</v>
      </c>
      <c r="Q10" s="9" t="s">
        <v>456</v>
      </c>
      <c r="R10" s="9" t="s">
        <v>766</v>
      </c>
      <c r="S10" s="9" t="s">
        <v>796</v>
      </c>
      <c r="T10" s="34" t="str">
        <f t="array" ref="T10">INDEX(Gazetteer!$T$3:$T$9941,MATCH(1,(Q10=Gazetteer!$C$3:$C$9941)*(R10=Gazetteer!$D$3:$D$9941)*(S10=Gazetteer!$E$3:$E$9941),0))</f>
        <v>46º41.22′N</v>
      </c>
      <c r="U10" s="34" t="str">
        <f t="array" ref="U10">INDEX(Gazetteer!$U$3:$U$9941,MATCH(1,(Q10=Gazetteer!$C$3:$C$9941)*(R10=Gazetteer!$D$3:$D$9941)*(S10=Gazetteer!$E$3:$E$9941),0))</f>
        <v>000º53.23′E</v>
      </c>
      <c r="V10" s="34">
        <f>INDEX(Ref!C:C,MATCH(W10,Ref!B:B,0))</f>
        <v>2011</v>
      </c>
      <c r="W10" s="36" t="s">
        <v>1168</v>
      </c>
      <c r="X10" s="5">
        <v>10</v>
      </c>
      <c r="Y10" s="11" t="s">
        <v>107</v>
      </c>
      <c r="Z10" s="5" t="s">
        <v>107</v>
      </c>
      <c r="AA10" t="s">
        <v>107</v>
      </c>
    </row>
    <row r="11" spans="1:27" x14ac:dyDescent="0.2">
      <c r="A11" s="5">
        <v>4</v>
      </c>
      <c r="B11" s="29" t="s">
        <v>880</v>
      </c>
      <c r="C11" s="29" t="s">
        <v>105</v>
      </c>
      <c r="D11" s="29" t="s">
        <v>107</v>
      </c>
      <c r="E11" s="30" t="s">
        <v>71</v>
      </c>
      <c r="F11" s="4" t="s">
        <v>62</v>
      </c>
      <c r="G11" s="29" t="s">
        <v>169</v>
      </c>
      <c r="H11" s="4" t="s">
        <v>107</v>
      </c>
      <c r="I11" t="s">
        <v>150</v>
      </c>
      <c r="J11" s="8" t="s">
        <v>107</v>
      </c>
      <c r="K11" s="9" t="s">
        <v>107</v>
      </c>
      <c r="L11" s="10" t="s">
        <v>107</v>
      </c>
      <c r="M11" s="10" t="s">
        <v>107</v>
      </c>
      <c r="N11" s="8" t="s">
        <v>107</v>
      </c>
      <c r="O11" s="8" t="s">
        <v>107</v>
      </c>
      <c r="P11" s="9" t="s">
        <v>107</v>
      </c>
      <c r="Q11" s="9" t="s">
        <v>170</v>
      </c>
      <c r="R11" s="9" t="s">
        <v>107</v>
      </c>
      <c r="S11" s="9" t="s">
        <v>107</v>
      </c>
      <c r="T11" s="34" t="str">
        <f t="array" ref="T11">INDEX(Gazetteer!$T$3:$T$9941,MATCH(1,(Q11=Gazetteer!$C$3:$C$9941)*(R11=Gazetteer!$D$3:$D$9941)*(S11=Gazetteer!$E$3:$E$9941),0))</f>
        <v>-</v>
      </c>
      <c r="U11" s="34" t="str">
        <f t="array" ref="U11">INDEX(Gazetteer!$U$3:$U$9941,MATCH(1,(Q11=Gazetteer!$C$3:$C$9941)*(R11=Gazetteer!$D$3:$D$9941)*(S11=Gazetteer!$E$3:$E$9941),0))</f>
        <v>-</v>
      </c>
      <c r="V11" s="34">
        <f>INDEX(Ref!C:C,MATCH(W11,Ref!B:B,0))</f>
        <v>2000</v>
      </c>
      <c r="W11" s="36" t="s">
        <v>1169</v>
      </c>
      <c r="X11" s="5">
        <v>100</v>
      </c>
      <c r="Y11" s="14" t="s">
        <v>171</v>
      </c>
      <c r="Z11" s="5" t="s">
        <v>107</v>
      </c>
      <c r="AA11" t="s">
        <v>107</v>
      </c>
    </row>
    <row r="12" spans="1:27" x14ac:dyDescent="0.2">
      <c r="A12" s="5">
        <v>489</v>
      </c>
      <c r="B12" s="29" t="s">
        <v>880</v>
      </c>
      <c r="C12" s="29" t="s">
        <v>105</v>
      </c>
      <c r="D12" s="29" t="s">
        <v>107</v>
      </c>
      <c r="E12" s="30" t="s">
        <v>71</v>
      </c>
      <c r="F12" s="4" t="s">
        <v>23</v>
      </c>
      <c r="G12" s="29" t="s">
        <v>174</v>
      </c>
      <c r="H12" s="4" t="s">
        <v>107</v>
      </c>
      <c r="I12" t="s">
        <v>150</v>
      </c>
      <c r="J12" s="4" t="s">
        <v>107</v>
      </c>
      <c r="K12" s="9" t="s">
        <v>107</v>
      </c>
      <c r="L12" s="10" t="s">
        <v>107</v>
      </c>
      <c r="M12" s="10" t="s">
        <v>107</v>
      </c>
      <c r="N12" s="9" t="s">
        <v>107</v>
      </c>
      <c r="O12" s="9" t="s">
        <v>107</v>
      </c>
      <c r="P12" s="9" t="s">
        <v>107</v>
      </c>
      <c r="Q12" s="9" t="s">
        <v>970</v>
      </c>
      <c r="R12" s="9" t="s">
        <v>107</v>
      </c>
      <c r="S12" s="9" t="s">
        <v>107</v>
      </c>
      <c r="T12" s="34" t="str">
        <f t="array" ref="T12">INDEX(Gazetteer!$T$3:$T$9941,MATCH(1,(Q12=Gazetteer!$C$3:$C$9941)*(R12=Gazetteer!$D$3:$D$9941)*(S12=Gazetteer!$E$3:$E$9941),0))</f>
        <v>-</v>
      </c>
      <c r="U12" s="34" t="str">
        <f t="array" ref="U12">INDEX(Gazetteer!$U$3:$U$9941,MATCH(1,(Q12=Gazetteer!$C$3:$C$9941)*(R12=Gazetteer!$D$3:$D$9941)*(S12=Gazetteer!$E$3:$E$9941),0))</f>
        <v>-</v>
      </c>
      <c r="V12" s="34">
        <f>INDEX(Ref!C:C,MATCH(W12,Ref!B:B,0))</f>
        <v>2017</v>
      </c>
      <c r="W12" s="36" t="s">
        <v>1165</v>
      </c>
      <c r="X12" s="5" t="s">
        <v>957</v>
      </c>
      <c r="Y12" s="11" t="s">
        <v>974</v>
      </c>
      <c r="Z12" s="5" t="s">
        <v>107</v>
      </c>
      <c r="AA12" t="s">
        <v>107</v>
      </c>
    </row>
    <row r="13" spans="1:27" x14ac:dyDescent="0.2">
      <c r="A13" s="5">
        <v>251</v>
      </c>
      <c r="B13" s="29" t="s">
        <v>880</v>
      </c>
      <c r="C13" s="29" t="s">
        <v>105</v>
      </c>
      <c r="D13" s="29" t="s">
        <v>107</v>
      </c>
      <c r="E13" s="30" t="s">
        <v>71</v>
      </c>
      <c r="F13" s="4" t="s">
        <v>23</v>
      </c>
      <c r="G13" s="29" t="s">
        <v>174</v>
      </c>
      <c r="H13" s="4" t="s">
        <v>107</v>
      </c>
      <c r="I13" t="s">
        <v>150</v>
      </c>
      <c r="J13" s="4" t="s">
        <v>107</v>
      </c>
      <c r="K13" s="9" t="s">
        <v>107</v>
      </c>
      <c r="L13" s="10" t="s">
        <v>107</v>
      </c>
      <c r="M13" s="10" t="s">
        <v>107</v>
      </c>
      <c r="N13" s="9" t="s">
        <v>107</v>
      </c>
      <c r="O13" s="9" t="s">
        <v>107</v>
      </c>
      <c r="P13" s="9" t="s">
        <v>107</v>
      </c>
      <c r="Q13" s="9" t="s">
        <v>786</v>
      </c>
      <c r="R13" s="9" t="s">
        <v>787</v>
      </c>
      <c r="S13" s="9" t="s">
        <v>788</v>
      </c>
      <c r="T13" s="34" t="str">
        <f t="array" ref="T13">INDEX(Gazetteer!$T$3:$T$9941,MATCH(1,(Q13=Gazetteer!$C$3:$C$9941)*(R13=Gazetteer!$D$3:$D$9941)*(S13=Gazetteer!$E$3:$E$9941),0))</f>
        <v>50º31.00′N</v>
      </c>
      <c r="U13" s="34" t="str">
        <f t="array" ref="U13">INDEX(Gazetteer!$U$3:$U$9941,MATCH(1,(Q13=Gazetteer!$C$3:$C$9941)*(R13=Gazetteer!$D$3:$D$9941)*(S13=Gazetteer!$E$3:$E$9941),0))</f>
        <v>005º14.00′E</v>
      </c>
      <c r="V13" s="34">
        <f>INDEX(Ref!C:C,MATCH(W13,Ref!B:B,0))</f>
        <v>2002</v>
      </c>
      <c r="W13" s="36" t="s">
        <v>1170</v>
      </c>
      <c r="X13" s="5">
        <v>3</v>
      </c>
      <c r="Y13" s="11" t="s">
        <v>107</v>
      </c>
      <c r="Z13" s="5" t="s">
        <v>107</v>
      </c>
      <c r="AA13" t="s">
        <v>107</v>
      </c>
    </row>
    <row r="14" spans="1:27" x14ac:dyDescent="0.2">
      <c r="A14" s="5">
        <v>9</v>
      </c>
      <c r="B14" s="29" t="s">
        <v>880</v>
      </c>
      <c r="C14" s="29" t="s">
        <v>105</v>
      </c>
      <c r="D14" s="29" t="s">
        <v>107</v>
      </c>
      <c r="E14" s="30" t="s">
        <v>71</v>
      </c>
      <c r="F14" s="4" t="s">
        <v>23</v>
      </c>
      <c r="G14" s="29" t="s">
        <v>174</v>
      </c>
      <c r="H14" s="4" t="s">
        <v>107</v>
      </c>
      <c r="I14" t="s">
        <v>150</v>
      </c>
      <c r="J14" s="8" t="s">
        <v>107</v>
      </c>
      <c r="K14" s="9" t="s">
        <v>107</v>
      </c>
      <c r="L14" s="10" t="s">
        <v>107</v>
      </c>
      <c r="M14" s="10" t="s">
        <v>156</v>
      </c>
      <c r="N14" s="9" t="s">
        <v>177</v>
      </c>
      <c r="O14" s="8" t="s">
        <v>107</v>
      </c>
      <c r="P14" s="9" t="s">
        <v>157</v>
      </c>
      <c r="Q14" s="8" t="s">
        <v>191</v>
      </c>
      <c r="R14" s="8" t="s">
        <v>198</v>
      </c>
      <c r="S14" s="8" t="s">
        <v>199</v>
      </c>
      <c r="T14" s="34" t="str">
        <f t="array" ref="T14">INDEX(Gazetteer!$T$3:$T$9941,MATCH(1,(Q14=Gazetteer!$C$3:$C$9941)*(R14=Gazetteer!$D$3:$D$9941)*(S14=Gazetteer!$E$3:$E$9941),0))</f>
        <v>49º16.68′N</v>
      </c>
      <c r="U14" s="34" t="str">
        <f t="array" ref="U14">INDEX(Gazetteer!$U$3:$U$9941,MATCH(1,(Q14=Gazetteer!$C$3:$C$9941)*(R14=Gazetteer!$D$3:$D$9941)*(S14=Gazetteer!$E$3:$E$9941),0))</f>
        <v>016º44.05′E</v>
      </c>
      <c r="V14" s="34">
        <f>INDEX(Ref!C:C,MATCH(W14,Ref!B:B,0))</f>
        <v>2011</v>
      </c>
      <c r="W14" s="36" t="s">
        <v>1171</v>
      </c>
      <c r="X14" s="5">
        <v>75</v>
      </c>
      <c r="Y14" s="11" t="s">
        <v>107</v>
      </c>
      <c r="Z14" s="5" t="s">
        <v>107</v>
      </c>
      <c r="AA14" t="s">
        <v>107</v>
      </c>
    </row>
    <row r="15" spans="1:27" x14ac:dyDescent="0.2">
      <c r="A15" s="5">
        <v>8</v>
      </c>
      <c r="B15" s="29" t="s">
        <v>880</v>
      </c>
      <c r="C15" s="29" t="s">
        <v>105</v>
      </c>
      <c r="D15" s="29" t="s">
        <v>107</v>
      </c>
      <c r="E15" s="30" t="s">
        <v>71</v>
      </c>
      <c r="F15" s="4" t="s">
        <v>23</v>
      </c>
      <c r="G15" s="29" t="s">
        <v>174</v>
      </c>
      <c r="H15" s="4" t="s">
        <v>107</v>
      </c>
      <c r="I15" t="s">
        <v>150</v>
      </c>
      <c r="J15" s="8" t="s">
        <v>107</v>
      </c>
      <c r="K15" s="9" t="s">
        <v>187</v>
      </c>
      <c r="L15" s="10">
        <v>3042</v>
      </c>
      <c r="M15" s="10" t="s">
        <v>130</v>
      </c>
      <c r="N15" s="9" t="s">
        <v>189</v>
      </c>
      <c r="O15" s="8" t="s">
        <v>190</v>
      </c>
      <c r="P15" s="9" t="s">
        <v>157</v>
      </c>
      <c r="Q15" s="8" t="s">
        <v>191</v>
      </c>
      <c r="R15" t="s">
        <v>192</v>
      </c>
      <c r="S15" t="s">
        <v>194</v>
      </c>
      <c r="T15" s="34" t="str">
        <f t="array" ref="T15">INDEX(Gazetteer!$T$3:$T$9941,MATCH(1,(Q15=Gazetteer!$C$3:$C$9941)*(R15=Gazetteer!$D$3:$D$9941)*(S15=Gazetteer!$E$3:$E$9941),0))</f>
        <v>50º13.78′N</v>
      </c>
      <c r="U15" s="34" t="str">
        <f t="array" ref="U15">INDEX(Gazetteer!$U$3:$U$9941,MATCH(1,(Q15=Gazetteer!$C$3:$C$9941)*(R15=Gazetteer!$D$3:$D$9941)*(S15=Gazetteer!$E$3:$E$9941),0))</f>
        <v>017º12.28′E</v>
      </c>
      <c r="V15" s="34">
        <f>INDEX(Ref!C:C,MATCH(W15,Ref!B:B,0))</f>
        <v>2007</v>
      </c>
      <c r="W15" s="37" t="s">
        <v>1172</v>
      </c>
      <c r="X15" s="5">
        <v>168</v>
      </c>
      <c r="Y15" s="11" t="s">
        <v>107</v>
      </c>
      <c r="Z15" s="5" t="s">
        <v>107</v>
      </c>
      <c r="AA15" t="s">
        <v>107</v>
      </c>
    </row>
    <row r="16" spans="1:27" x14ac:dyDescent="0.2">
      <c r="A16" s="5">
        <v>249</v>
      </c>
      <c r="B16" s="29" t="s">
        <v>880</v>
      </c>
      <c r="C16" s="29" t="s">
        <v>105</v>
      </c>
      <c r="D16" s="29" t="s">
        <v>107</v>
      </c>
      <c r="E16" s="30" t="s">
        <v>71</v>
      </c>
      <c r="F16" s="4" t="s">
        <v>23</v>
      </c>
      <c r="G16" s="29" t="s">
        <v>174</v>
      </c>
      <c r="H16" s="4" t="s">
        <v>107</v>
      </c>
      <c r="I16" t="s">
        <v>150</v>
      </c>
      <c r="J16" s="4" t="s">
        <v>107</v>
      </c>
      <c r="K16" s="9" t="s">
        <v>107</v>
      </c>
      <c r="L16" s="10" t="s">
        <v>107</v>
      </c>
      <c r="M16" s="10" t="s">
        <v>107</v>
      </c>
      <c r="N16" s="9" t="s">
        <v>107</v>
      </c>
      <c r="O16" s="9" t="s">
        <v>107</v>
      </c>
      <c r="P16" s="9" t="s">
        <v>107</v>
      </c>
      <c r="Q16" s="9" t="s">
        <v>456</v>
      </c>
      <c r="R16" s="9" t="s">
        <v>107</v>
      </c>
      <c r="S16" s="9" t="s">
        <v>780</v>
      </c>
      <c r="T16" s="34" t="str">
        <f t="array" ref="T16">INDEX(Gazetteer!$T$3:$T$9941,MATCH(1,(Q16=Gazetteer!$C$3:$C$9941)*(R16=Gazetteer!$D$3:$D$9941)*(S16=Gazetteer!$E$3:$E$9941),0))</f>
        <v>-</v>
      </c>
      <c r="U16" s="34" t="str">
        <f t="array" ref="U16">INDEX(Gazetteer!$U$3:$U$9941,MATCH(1,(Q16=Gazetteer!$C$3:$C$9941)*(R16=Gazetteer!$D$3:$D$9941)*(S16=Gazetteer!$E$3:$E$9941),0))</f>
        <v>-</v>
      </c>
      <c r="V16" s="34">
        <f>INDEX(Ref!C:C,MATCH(W16,Ref!B:B,0))</f>
        <v>2005</v>
      </c>
      <c r="W16" s="38" t="s">
        <v>1167</v>
      </c>
      <c r="X16" s="5">
        <v>25</v>
      </c>
      <c r="Y16" s="11" t="s">
        <v>107</v>
      </c>
      <c r="Z16" s="5" t="s">
        <v>107</v>
      </c>
      <c r="AA16" t="s">
        <v>107</v>
      </c>
    </row>
    <row r="17" spans="1:27" x14ac:dyDescent="0.2">
      <c r="A17" s="5">
        <v>243</v>
      </c>
      <c r="B17" s="29" t="s">
        <v>880</v>
      </c>
      <c r="C17" s="29" t="s">
        <v>105</v>
      </c>
      <c r="D17" s="29" t="s">
        <v>107</v>
      </c>
      <c r="E17" s="30" t="s">
        <v>71</v>
      </c>
      <c r="F17" s="4" t="s">
        <v>23</v>
      </c>
      <c r="G17" s="29" t="s">
        <v>174</v>
      </c>
      <c r="H17" s="4" t="s">
        <v>107</v>
      </c>
      <c r="I17" t="s">
        <v>150</v>
      </c>
      <c r="J17" s="4" t="s">
        <v>107</v>
      </c>
      <c r="K17" s="9" t="s">
        <v>107</v>
      </c>
      <c r="L17" s="10" t="s">
        <v>107</v>
      </c>
      <c r="M17" s="10" t="s">
        <v>107</v>
      </c>
      <c r="N17" s="9" t="s">
        <v>107</v>
      </c>
      <c r="O17" s="9" t="s">
        <v>107</v>
      </c>
      <c r="P17" s="9" t="s">
        <v>107</v>
      </c>
      <c r="Q17" s="9" t="s">
        <v>456</v>
      </c>
      <c r="R17" s="9" t="s">
        <v>768</v>
      </c>
      <c r="S17" s="9" t="s">
        <v>769</v>
      </c>
      <c r="T17" s="34" t="str">
        <f t="array" ref="T17">INDEX(Gazetteer!$T$3:$T$9941,MATCH(1,(Q17=Gazetteer!$C$3:$C$9941)*(R17=Gazetteer!$D$3:$D$9941)*(S17=Gazetteer!$E$3:$E$9941),0))</f>
        <v>-</v>
      </c>
      <c r="U17" s="34" t="str">
        <f t="array" ref="U17">INDEX(Gazetteer!$U$3:$U$9941,MATCH(1,(Q17=Gazetteer!$C$3:$C$9941)*(R17=Gazetteer!$D$3:$D$9941)*(S17=Gazetteer!$E$3:$E$9941),0))</f>
        <v>-</v>
      </c>
      <c r="V17" s="34">
        <f>INDEX(Ref!C:C,MATCH(W17,Ref!B:B,0))</f>
        <v>2005</v>
      </c>
      <c r="W17" s="38" t="s">
        <v>1167</v>
      </c>
      <c r="X17" s="5">
        <v>25</v>
      </c>
      <c r="Y17" s="11" t="s">
        <v>107</v>
      </c>
      <c r="Z17" s="5" t="s">
        <v>107</v>
      </c>
      <c r="AA17" t="s">
        <v>107</v>
      </c>
    </row>
    <row r="18" spans="1:27" x14ac:dyDescent="0.2">
      <c r="A18" s="5">
        <v>484</v>
      </c>
      <c r="B18" s="29" t="s">
        <v>880</v>
      </c>
      <c r="C18" s="29" t="s">
        <v>105</v>
      </c>
      <c r="D18" s="29" t="s">
        <v>107</v>
      </c>
      <c r="E18" s="30" t="s">
        <v>71</v>
      </c>
      <c r="F18" s="4" t="s">
        <v>23</v>
      </c>
      <c r="G18" s="29" t="s">
        <v>174</v>
      </c>
      <c r="H18" s="4" t="s">
        <v>107</v>
      </c>
      <c r="I18" t="s">
        <v>150</v>
      </c>
      <c r="J18" s="4" t="s">
        <v>107</v>
      </c>
      <c r="K18" s="9" t="s">
        <v>107</v>
      </c>
      <c r="L18" s="10" t="s">
        <v>107</v>
      </c>
      <c r="M18" s="10" t="s">
        <v>107</v>
      </c>
      <c r="N18" s="9" t="s">
        <v>107</v>
      </c>
      <c r="O18" s="9" t="s">
        <v>107</v>
      </c>
      <c r="P18" s="9" t="s">
        <v>107</v>
      </c>
      <c r="Q18" s="9" t="s">
        <v>904</v>
      </c>
      <c r="R18" s="9" t="s">
        <v>107</v>
      </c>
      <c r="S18" s="9" t="s">
        <v>107</v>
      </c>
      <c r="T18" s="34" t="str">
        <f t="array" ref="T18">INDEX(Gazetteer!$T$3:$T$9941,MATCH(1,(Q18=Gazetteer!$C$3:$C$9941)*(R18=Gazetteer!$D$3:$D$9941)*(S18=Gazetteer!$E$3:$E$9941),0))</f>
        <v>-</v>
      </c>
      <c r="U18" s="34" t="str">
        <f t="array" ref="U18">INDEX(Gazetteer!$U$3:$U$9941,MATCH(1,(Q18=Gazetteer!$C$3:$C$9941)*(R18=Gazetteer!$D$3:$D$9941)*(S18=Gazetteer!$E$3:$E$9941),0))</f>
        <v>-</v>
      </c>
      <c r="V18" s="34">
        <f>INDEX(Ref!C:C,MATCH(W18,Ref!B:B,0))</f>
        <v>2017</v>
      </c>
      <c r="W18" s="36" t="s">
        <v>1165</v>
      </c>
      <c r="X18" s="5" t="s">
        <v>957</v>
      </c>
      <c r="Y18" s="11" t="s">
        <v>973</v>
      </c>
      <c r="Z18" s="5" t="s">
        <v>107</v>
      </c>
      <c r="AA18" t="s">
        <v>107</v>
      </c>
    </row>
    <row r="19" spans="1:27" x14ac:dyDescent="0.2">
      <c r="A19" s="5">
        <v>684</v>
      </c>
      <c r="B19" s="29" t="s">
        <v>880</v>
      </c>
      <c r="C19" s="29" t="s">
        <v>105</v>
      </c>
      <c r="D19" s="29" t="s">
        <v>107</v>
      </c>
      <c r="E19" s="30" t="s">
        <v>71</v>
      </c>
      <c r="F19" s="4" t="s">
        <v>23</v>
      </c>
      <c r="G19" s="29" t="s">
        <v>174</v>
      </c>
      <c r="H19" s="4" t="s">
        <v>1132</v>
      </c>
      <c r="I19" t="s">
        <v>150</v>
      </c>
      <c r="J19" s="8" t="s">
        <v>107</v>
      </c>
      <c r="K19" s="9" t="s">
        <v>107</v>
      </c>
      <c r="L19" s="10" t="s">
        <v>107</v>
      </c>
      <c r="M19" s="10" t="s">
        <v>107</v>
      </c>
      <c r="N19" s="9" t="s">
        <v>107</v>
      </c>
      <c r="O19" s="9" t="s">
        <v>107</v>
      </c>
      <c r="P19" s="9" t="s">
        <v>107</v>
      </c>
      <c r="Q19" s="9" t="s">
        <v>962</v>
      </c>
      <c r="R19" s="9" t="s">
        <v>1133</v>
      </c>
      <c r="S19" s="9" t="s">
        <v>1134</v>
      </c>
      <c r="T19" s="34" t="str">
        <f t="array" ref="T19">INDEX(Gazetteer!$T$3:$T$9941,MATCH(1,(Q19=Gazetteer!$C$3:$C$9941)*(R19=Gazetteer!$D$3:$D$9941)*(S19=Gazetteer!$E$3:$E$9941),0))</f>
        <v>-</v>
      </c>
      <c r="U19" s="34" t="str">
        <f t="array" ref="U19">INDEX(Gazetteer!$U$3:$U$9941,MATCH(1,(Q19=Gazetteer!$C$3:$C$9941)*(R19=Gazetteer!$D$3:$D$9941)*(S19=Gazetteer!$E$3:$E$9941),0))</f>
        <v>-</v>
      </c>
      <c r="V19" s="34">
        <f>INDEX(Ref!C:C,MATCH(W19,Ref!B:B,0))</f>
        <v>1883</v>
      </c>
      <c r="W19" s="36" t="s">
        <v>1173</v>
      </c>
      <c r="X19" s="5">
        <v>2</v>
      </c>
      <c r="Y19" s="11" t="s">
        <v>107</v>
      </c>
      <c r="Z19" s="5" t="s">
        <v>107</v>
      </c>
      <c r="AA19" t="s">
        <v>107</v>
      </c>
    </row>
    <row r="20" spans="1:27" x14ac:dyDescent="0.2">
      <c r="A20" s="5">
        <v>217</v>
      </c>
      <c r="B20" s="29" t="s">
        <v>880</v>
      </c>
      <c r="C20" s="29" t="s">
        <v>105</v>
      </c>
      <c r="D20" s="29" t="s">
        <v>107</v>
      </c>
      <c r="E20" s="30" t="s">
        <v>71</v>
      </c>
      <c r="F20" s="4" t="s">
        <v>23</v>
      </c>
      <c r="G20" s="29" t="s">
        <v>174</v>
      </c>
      <c r="H20" s="4" t="s">
        <v>107</v>
      </c>
      <c r="I20" t="s">
        <v>150</v>
      </c>
      <c r="J20" s="4" t="s">
        <v>107</v>
      </c>
      <c r="K20" s="9" t="s">
        <v>107</v>
      </c>
      <c r="L20" s="10" t="s">
        <v>107</v>
      </c>
      <c r="M20" s="10" t="s">
        <v>107</v>
      </c>
      <c r="N20" s="9" t="s">
        <v>107</v>
      </c>
      <c r="O20" s="9" t="s">
        <v>107</v>
      </c>
      <c r="P20" s="9" t="s">
        <v>107</v>
      </c>
      <c r="Q20" s="8" t="s">
        <v>425</v>
      </c>
      <c r="R20" t="s">
        <v>107</v>
      </c>
      <c r="S20" t="s">
        <v>719</v>
      </c>
      <c r="T20" s="34" t="str">
        <f t="array" ref="T20">INDEX(Gazetteer!$T$3:$T$9941,MATCH(1,(Q20=Gazetteer!$C$3:$C$9941)*(R20=Gazetteer!$D$3:$D$9941)*(S20=Gazetteer!$E$3:$E$9941),0))</f>
        <v>-</v>
      </c>
      <c r="U20" s="34" t="str">
        <f t="array" ref="U20">INDEX(Gazetteer!$U$3:$U$9941,MATCH(1,(Q20=Gazetteer!$C$3:$C$9941)*(R20=Gazetteer!$D$3:$D$9941)*(S20=Gazetteer!$E$3:$E$9941),0))</f>
        <v>-</v>
      </c>
      <c r="V20" s="34">
        <f>INDEX(Ref!C:C,MATCH(W20,Ref!B:B,0))</f>
        <v>2017</v>
      </c>
      <c r="W20" s="36" t="s">
        <v>1174</v>
      </c>
      <c r="X20" s="5">
        <v>305</v>
      </c>
      <c r="Y20" s="11" t="s">
        <v>107</v>
      </c>
      <c r="Z20" s="5" t="s">
        <v>107</v>
      </c>
      <c r="AA20" t="s">
        <v>107</v>
      </c>
    </row>
    <row r="21" spans="1:27" x14ac:dyDescent="0.2">
      <c r="A21" s="5">
        <v>216</v>
      </c>
      <c r="B21" s="29" t="s">
        <v>880</v>
      </c>
      <c r="C21" s="29" t="s">
        <v>105</v>
      </c>
      <c r="D21" s="29" t="s">
        <v>107</v>
      </c>
      <c r="E21" s="30" t="s">
        <v>71</v>
      </c>
      <c r="F21" s="4" t="s">
        <v>23</v>
      </c>
      <c r="G21" s="29" t="s">
        <v>174</v>
      </c>
      <c r="H21" s="4" t="s">
        <v>107</v>
      </c>
      <c r="I21" t="s">
        <v>150</v>
      </c>
      <c r="J21" s="4" t="s">
        <v>107</v>
      </c>
      <c r="K21" s="9" t="s">
        <v>107</v>
      </c>
      <c r="L21" s="10" t="s">
        <v>107</v>
      </c>
      <c r="M21" s="10" t="s">
        <v>107</v>
      </c>
      <c r="N21" s="9" t="s">
        <v>107</v>
      </c>
      <c r="O21" s="9" t="s">
        <v>107</v>
      </c>
      <c r="P21" s="9" t="s">
        <v>107</v>
      </c>
      <c r="Q21" s="8" t="s">
        <v>425</v>
      </c>
      <c r="R21" t="s">
        <v>107</v>
      </c>
      <c r="S21" t="s">
        <v>718</v>
      </c>
      <c r="T21" s="34" t="str">
        <f t="array" ref="T21">INDEX(Gazetteer!$T$3:$T$9941,MATCH(1,(Q21=Gazetteer!$C$3:$C$9941)*(R21=Gazetteer!$D$3:$D$9941)*(S21=Gazetteer!$E$3:$E$9941),0))</f>
        <v>-</v>
      </c>
      <c r="U21" s="34" t="str">
        <f t="array" ref="U21">INDEX(Gazetteer!$U$3:$U$9941,MATCH(1,(Q21=Gazetteer!$C$3:$C$9941)*(R21=Gazetteer!$D$3:$D$9941)*(S21=Gazetteer!$E$3:$E$9941),0))</f>
        <v>-</v>
      </c>
      <c r="V21" s="34">
        <f>INDEX(Ref!C:C,MATCH(W21,Ref!B:B,0))</f>
        <v>2017</v>
      </c>
      <c r="W21" s="36" t="s">
        <v>1174</v>
      </c>
      <c r="X21" s="5">
        <v>305</v>
      </c>
      <c r="Y21" s="11" t="s">
        <v>107</v>
      </c>
      <c r="Z21" s="5" t="s">
        <v>107</v>
      </c>
      <c r="AA21" t="s">
        <v>107</v>
      </c>
    </row>
    <row r="22" spans="1:27" x14ac:dyDescent="0.2">
      <c r="A22" s="5">
        <v>5</v>
      </c>
      <c r="B22" s="29" t="s">
        <v>880</v>
      </c>
      <c r="C22" s="29" t="s">
        <v>105</v>
      </c>
      <c r="D22" s="29" t="s">
        <v>107</v>
      </c>
      <c r="E22" s="30" t="s">
        <v>71</v>
      </c>
      <c r="F22" s="4" t="s">
        <v>23</v>
      </c>
      <c r="G22" s="29" t="s">
        <v>174</v>
      </c>
      <c r="H22" s="4" t="s">
        <v>107</v>
      </c>
      <c r="I22" t="s">
        <v>150</v>
      </c>
      <c r="J22" s="8" t="s">
        <v>107</v>
      </c>
      <c r="K22" s="9" t="s">
        <v>107</v>
      </c>
      <c r="L22" s="10" t="s">
        <v>107</v>
      </c>
      <c r="M22" s="10" t="s">
        <v>107</v>
      </c>
      <c r="N22" s="8" t="s">
        <v>177</v>
      </c>
      <c r="O22" s="8" t="s">
        <v>107</v>
      </c>
      <c r="P22" s="9" t="s">
        <v>178</v>
      </c>
      <c r="Q22" s="9" t="s">
        <v>179</v>
      </c>
      <c r="R22" s="9" t="s">
        <v>180</v>
      </c>
      <c r="S22" s="9" t="s">
        <v>181</v>
      </c>
      <c r="T22" s="34" t="str">
        <f t="array" ref="T22">INDEX(Gazetteer!$T$3:$T$9941,MATCH(1,(Q22=Gazetteer!$C$3:$C$9941)*(R22=Gazetteer!$D$3:$D$9941)*(S22=Gazetteer!$E$3:$E$9941),0))</f>
        <v>48º51.00′N</v>
      </c>
      <c r="U22" s="34" t="str">
        <f t="array" ref="U22">INDEX(Gazetteer!$U$3:$U$9941,MATCH(1,(Q22=Gazetteer!$C$3:$C$9941)*(R22=Gazetteer!$D$3:$D$9941)*(S22=Gazetteer!$E$3:$E$9941),0))</f>
        <v>022º21.00′E</v>
      </c>
      <c r="V22" s="34">
        <f>INDEX(Ref!C:C,MATCH(W22,Ref!B:B,0))</f>
        <v>1995</v>
      </c>
      <c r="W22" s="39" t="s">
        <v>1175</v>
      </c>
      <c r="X22" s="5">
        <v>103</v>
      </c>
      <c r="Y22" s="11" t="s">
        <v>107</v>
      </c>
      <c r="Z22" s="5" t="s">
        <v>107</v>
      </c>
      <c r="AA22" t="s">
        <v>107</v>
      </c>
    </row>
    <row r="23" spans="1:27" x14ac:dyDescent="0.2">
      <c r="A23" s="5">
        <v>6</v>
      </c>
      <c r="B23" s="29" t="s">
        <v>880</v>
      </c>
      <c r="C23" s="29" t="s">
        <v>105</v>
      </c>
      <c r="D23" s="29" t="s">
        <v>107</v>
      </c>
      <c r="E23" s="30" t="s">
        <v>71</v>
      </c>
      <c r="F23" s="4" t="s">
        <v>23</v>
      </c>
      <c r="G23" s="29" t="s">
        <v>174</v>
      </c>
      <c r="H23" s="4" t="s">
        <v>107</v>
      </c>
      <c r="I23" t="s">
        <v>150</v>
      </c>
      <c r="J23" s="8" t="s">
        <v>107</v>
      </c>
      <c r="K23" s="9" t="s">
        <v>183</v>
      </c>
      <c r="L23" s="10" t="s">
        <v>107</v>
      </c>
      <c r="M23" s="10" t="s">
        <v>130</v>
      </c>
      <c r="N23" s="8" t="s">
        <v>177</v>
      </c>
      <c r="O23" s="8" t="s">
        <v>107</v>
      </c>
      <c r="P23" s="9" t="s">
        <v>184</v>
      </c>
      <c r="Q23" s="9" t="s">
        <v>179</v>
      </c>
      <c r="R23" s="9" t="s">
        <v>185</v>
      </c>
      <c r="S23" s="9" t="s">
        <v>186</v>
      </c>
      <c r="T23" s="34" t="str">
        <f t="array" ref="T23">INDEX(Gazetteer!$T$3:$T$9941,MATCH(1,(Q23=Gazetteer!$C$3:$C$9941)*(R23=Gazetteer!$D$3:$D$9941)*(S23=Gazetteer!$E$3:$E$9941),0))</f>
        <v>48º42.00′N</v>
      </c>
      <c r="U23" s="34" t="str">
        <f t="array" ref="U23">INDEX(Gazetteer!$U$3:$U$9941,MATCH(1,(Q23=Gazetteer!$C$3:$C$9941)*(R23=Gazetteer!$D$3:$D$9941)*(S23=Gazetteer!$E$3:$E$9941),0))</f>
        <v>020º31.00′E</v>
      </c>
      <c r="V23" s="34">
        <f>INDEX(Ref!C:C,MATCH(W23,Ref!B:B,0))</f>
        <v>1995</v>
      </c>
      <c r="W23" s="37" t="s">
        <v>1176</v>
      </c>
      <c r="X23" s="5">
        <v>105</v>
      </c>
      <c r="Y23" s="11" t="s">
        <v>107</v>
      </c>
      <c r="Z23" s="5" t="s">
        <v>107</v>
      </c>
      <c r="AA23" t="s">
        <v>107</v>
      </c>
    </row>
    <row r="24" spans="1:27" x14ac:dyDescent="0.2">
      <c r="A24" s="5">
        <v>13</v>
      </c>
      <c r="B24" s="29" t="s">
        <v>880</v>
      </c>
      <c r="C24" s="29" t="s">
        <v>108</v>
      </c>
      <c r="D24" s="29" t="s">
        <v>107</v>
      </c>
      <c r="E24" s="30" t="s">
        <v>72</v>
      </c>
      <c r="F24" s="4" t="s">
        <v>24</v>
      </c>
      <c r="G24" s="29" t="s">
        <v>213</v>
      </c>
      <c r="H24" s="4" t="s">
        <v>214</v>
      </c>
      <c r="I24" t="s">
        <v>150</v>
      </c>
      <c r="J24" s="4" t="s">
        <v>107</v>
      </c>
      <c r="K24" s="9" t="s">
        <v>107</v>
      </c>
      <c r="L24" s="10" t="s">
        <v>107</v>
      </c>
      <c r="M24" s="10" t="s">
        <v>130</v>
      </c>
      <c r="N24" s="9" t="s">
        <v>107</v>
      </c>
      <c r="O24" s="9" t="s">
        <v>107</v>
      </c>
      <c r="P24" s="9" t="s">
        <v>157</v>
      </c>
      <c r="Q24" s="9" t="s">
        <v>128</v>
      </c>
      <c r="R24" s="9" t="s">
        <v>215</v>
      </c>
      <c r="S24" s="9" t="s">
        <v>216</v>
      </c>
      <c r="T24" s="34" t="str">
        <f t="array" ref="T24">INDEX(Gazetteer!$T$3:$T$9941,MATCH(1,(Q24=Gazetteer!$C$3:$C$9941)*(R24=Gazetteer!$D$3:$D$9941)*(S24=Gazetteer!$E$3:$E$9941),0))</f>
        <v>07º56.00′N</v>
      </c>
      <c r="U24" s="34" t="str">
        <f t="array" ref="U24">INDEX(Gazetteer!$U$3:$U$9941,MATCH(1,(Q24=Gazetteer!$C$3:$C$9941)*(R24=Gazetteer!$D$3:$D$9941)*(S24=Gazetteer!$E$3:$E$9941),0))</f>
        <v>093º22.00′E</v>
      </c>
      <c r="V24" s="34">
        <f>INDEX(Ref!C:C,MATCH(W24,Ref!B:B,0))</f>
        <v>2006</v>
      </c>
      <c r="W24" s="39" t="s">
        <v>1177</v>
      </c>
      <c r="X24" s="5">
        <v>913</v>
      </c>
      <c r="Y24" s="11" t="s">
        <v>107</v>
      </c>
      <c r="Z24" s="5" t="s">
        <v>107</v>
      </c>
      <c r="AA24" t="s">
        <v>107</v>
      </c>
    </row>
    <row r="25" spans="1:27" x14ac:dyDescent="0.2">
      <c r="A25" s="5">
        <v>339</v>
      </c>
      <c r="B25" s="29" t="s">
        <v>880</v>
      </c>
      <c r="C25" s="29" t="s">
        <v>108</v>
      </c>
      <c r="D25" s="29" t="s">
        <v>107</v>
      </c>
      <c r="E25" s="30" t="s">
        <v>72</v>
      </c>
      <c r="F25" s="4" t="s">
        <v>63</v>
      </c>
      <c r="G25" s="29" t="s">
        <v>219</v>
      </c>
      <c r="H25" s="4" t="s">
        <v>107</v>
      </c>
      <c r="I25" t="s">
        <v>150</v>
      </c>
      <c r="J25" s="4" t="s">
        <v>107</v>
      </c>
      <c r="K25" s="9" t="s">
        <v>107</v>
      </c>
      <c r="L25" s="10" t="s">
        <v>107</v>
      </c>
      <c r="M25" s="10" t="s">
        <v>107</v>
      </c>
      <c r="N25" s="9" t="s">
        <v>107</v>
      </c>
      <c r="O25" s="9" t="s">
        <v>107</v>
      </c>
      <c r="P25" s="9" t="s">
        <v>178</v>
      </c>
      <c r="Q25" s="9" t="s">
        <v>128</v>
      </c>
      <c r="R25" s="9" t="s">
        <v>107</v>
      </c>
      <c r="S25" s="9" t="s">
        <v>107</v>
      </c>
      <c r="T25" s="34" t="str">
        <f t="array" ref="T25">INDEX(Gazetteer!$T$3:$T$9941,MATCH(1,(Q25=Gazetteer!$C$3:$C$9941)*(R25=Gazetteer!$D$3:$D$9941)*(S25=Gazetteer!$E$3:$E$9941),0))</f>
        <v>-</v>
      </c>
      <c r="U25" s="34" t="str">
        <f t="array" ref="U25">INDEX(Gazetteer!$U$3:$U$9941,MATCH(1,(Q25=Gazetteer!$C$3:$C$9941)*(R25=Gazetteer!$D$3:$D$9941)*(S25=Gazetteer!$E$3:$E$9941),0))</f>
        <v>-</v>
      </c>
      <c r="V25" s="34">
        <f>INDEX(Ref!C:C,MATCH(W25,Ref!B:B,0))</f>
        <v>2017</v>
      </c>
      <c r="W25" s="36" t="s">
        <v>1165</v>
      </c>
      <c r="X25" s="5" t="s">
        <v>957</v>
      </c>
      <c r="Y25" s="11" t="s">
        <v>220</v>
      </c>
      <c r="Z25" s="5" t="s">
        <v>107</v>
      </c>
      <c r="AA25" t="s">
        <v>107</v>
      </c>
    </row>
    <row r="26" spans="1:27" x14ac:dyDescent="0.2">
      <c r="A26" s="5">
        <v>340</v>
      </c>
      <c r="B26" s="29" t="s">
        <v>880</v>
      </c>
      <c r="C26" s="29" t="s">
        <v>108</v>
      </c>
      <c r="D26" s="29" t="s">
        <v>107</v>
      </c>
      <c r="E26" s="30" t="s">
        <v>72</v>
      </c>
      <c r="F26" s="4" t="s">
        <v>63</v>
      </c>
      <c r="G26" s="29" t="s">
        <v>219</v>
      </c>
      <c r="H26" s="4" t="s">
        <v>107</v>
      </c>
      <c r="I26" t="s">
        <v>150</v>
      </c>
      <c r="J26" s="4" t="s">
        <v>107</v>
      </c>
      <c r="K26" s="9" t="s">
        <v>107</v>
      </c>
      <c r="L26" s="10" t="s">
        <v>107</v>
      </c>
      <c r="M26" s="10" t="s">
        <v>107</v>
      </c>
      <c r="N26" s="9" t="s">
        <v>107</v>
      </c>
      <c r="O26" s="9" t="s">
        <v>107</v>
      </c>
      <c r="P26" s="9" t="s">
        <v>157</v>
      </c>
      <c r="Q26" s="9" t="s">
        <v>958</v>
      </c>
      <c r="R26" s="9" t="s">
        <v>107</v>
      </c>
      <c r="S26" s="9" t="s">
        <v>107</v>
      </c>
      <c r="T26" s="34" t="str">
        <f t="array" ref="T26">INDEX(Gazetteer!$T$3:$T$9941,MATCH(1,(Q26=Gazetteer!$C$3:$C$9941)*(R26=Gazetteer!$D$3:$D$9941)*(S26=Gazetteer!$E$3:$E$9941),0))</f>
        <v>-</v>
      </c>
      <c r="U26" s="34" t="str">
        <f t="array" ref="U26">INDEX(Gazetteer!$U$3:$U$9941,MATCH(1,(Q26=Gazetteer!$C$3:$C$9941)*(R26=Gazetteer!$D$3:$D$9941)*(S26=Gazetteer!$E$3:$E$9941),0))</f>
        <v>-</v>
      </c>
      <c r="V26" s="34">
        <f>INDEX(Ref!C:C,MATCH(W26,Ref!B:B,0))</f>
        <v>2017</v>
      </c>
      <c r="W26" s="36" t="s">
        <v>1165</v>
      </c>
      <c r="X26" s="5" t="s">
        <v>957</v>
      </c>
      <c r="Y26" s="11" t="s">
        <v>959</v>
      </c>
      <c r="Z26" s="5" t="s">
        <v>107</v>
      </c>
      <c r="AA26" t="s">
        <v>107</v>
      </c>
    </row>
    <row r="27" spans="1:27" x14ac:dyDescent="0.2">
      <c r="A27" s="5">
        <v>19</v>
      </c>
      <c r="B27" s="29" t="s">
        <v>880</v>
      </c>
      <c r="C27" s="29" t="s">
        <v>108</v>
      </c>
      <c r="D27" s="29" t="s">
        <v>107</v>
      </c>
      <c r="E27" s="30" t="s">
        <v>72</v>
      </c>
      <c r="F27" s="4" t="s">
        <v>25</v>
      </c>
      <c r="G27" s="29" t="s">
        <v>227</v>
      </c>
      <c r="H27" s="4" t="s">
        <v>107</v>
      </c>
      <c r="I27" t="s">
        <v>150</v>
      </c>
      <c r="J27" s="4" t="s">
        <v>107</v>
      </c>
      <c r="K27" s="9" t="s">
        <v>234</v>
      </c>
      <c r="L27" s="10">
        <v>73.260000000000005</v>
      </c>
      <c r="M27" s="10" t="s">
        <v>130</v>
      </c>
      <c r="N27" s="9" t="s">
        <v>189</v>
      </c>
      <c r="O27" s="9" t="s">
        <v>190</v>
      </c>
      <c r="P27" s="9" t="s">
        <v>157</v>
      </c>
      <c r="Q27" s="9" t="s">
        <v>229</v>
      </c>
      <c r="R27" s="9" t="s">
        <v>230</v>
      </c>
      <c r="S27" s="9" t="s">
        <v>231</v>
      </c>
      <c r="T27" s="34" t="str">
        <f t="array" ref="T27">INDEX(Gazetteer!$T$3:$T$9941,MATCH(1,(Q27=Gazetteer!$C$3:$C$9941)*(R27=Gazetteer!$D$3:$D$9941)*(S27=Gazetteer!$E$3:$E$9941),0))</f>
        <v>06º53.00′S</v>
      </c>
      <c r="U27" s="34" t="str">
        <f t="array" ref="U27">INDEX(Gazetteer!$U$3:$U$9941,MATCH(1,(Q27=Gazetteer!$C$3:$C$9941)*(R27=Gazetteer!$D$3:$D$9941)*(S27=Gazetteer!$E$3:$E$9941),0))</f>
        <v>039º05.00′E</v>
      </c>
      <c r="V27" s="34">
        <f>INDEX(Ref!C:C,MATCH(W27,Ref!B:B,0))</f>
        <v>1974</v>
      </c>
      <c r="W27" s="37" t="s">
        <v>1178</v>
      </c>
      <c r="X27" s="5">
        <v>155</v>
      </c>
      <c r="Y27" s="11" t="s">
        <v>107</v>
      </c>
      <c r="Z27" s="5" t="s">
        <v>107</v>
      </c>
      <c r="AA27" t="s">
        <v>107</v>
      </c>
    </row>
    <row r="28" spans="1:27" x14ac:dyDescent="0.2">
      <c r="A28" s="5">
        <v>16</v>
      </c>
      <c r="B28" s="29" t="s">
        <v>880</v>
      </c>
      <c r="C28" s="29" t="s">
        <v>108</v>
      </c>
      <c r="D28" s="29" t="s">
        <v>107</v>
      </c>
      <c r="E28" s="30" t="s">
        <v>72</v>
      </c>
      <c r="F28" s="4" t="s">
        <v>25</v>
      </c>
      <c r="G28" s="29" t="s">
        <v>227</v>
      </c>
      <c r="H28" s="4" t="s">
        <v>107</v>
      </c>
      <c r="I28" t="s">
        <v>150</v>
      </c>
      <c r="J28" s="4" t="s">
        <v>107</v>
      </c>
      <c r="K28" s="9" t="s">
        <v>228</v>
      </c>
      <c r="L28" s="10">
        <v>469</v>
      </c>
      <c r="M28" s="10" t="s">
        <v>130</v>
      </c>
      <c r="N28" s="9" t="s">
        <v>177</v>
      </c>
      <c r="O28" s="9" t="s">
        <v>107</v>
      </c>
      <c r="P28" s="9" t="s">
        <v>157</v>
      </c>
      <c r="Q28" s="9" t="s">
        <v>229</v>
      </c>
      <c r="R28" s="9" t="s">
        <v>230</v>
      </c>
      <c r="S28" s="9" t="s">
        <v>231</v>
      </c>
      <c r="T28" s="34" t="str">
        <f t="array" ref="T28">INDEX(Gazetteer!$T$3:$T$9941,MATCH(1,(Q28=Gazetteer!$C$3:$C$9941)*(R28=Gazetteer!$D$3:$D$9941)*(S28=Gazetteer!$E$3:$E$9941),0))</f>
        <v>06º53.00′S</v>
      </c>
      <c r="U28" s="34" t="str">
        <f t="array" ref="U28">INDEX(Gazetteer!$U$3:$U$9941,MATCH(1,(Q28=Gazetteer!$C$3:$C$9941)*(R28=Gazetteer!$D$3:$D$9941)*(S28=Gazetteer!$E$3:$E$9941),0))</f>
        <v>039º05.00′E</v>
      </c>
      <c r="V28" s="34">
        <f>INDEX(Ref!C:C,MATCH(W28,Ref!B:B,0))</f>
        <v>1980</v>
      </c>
      <c r="W28" s="37" t="s">
        <v>1179</v>
      </c>
      <c r="X28" s="5">
        <v>425</v>
      </c>
      <c r="Y28" s="11" t="s">
        <v>107</v>
      </c>
      <c r="Z28" s="5" t="s">
        <v>107</v>
      </c>
      <c r="AA28" t="s">
        <v>107</v>
      </c>
    </row>
    <row r="29" spans="1:27" x14ac:dyDescent="0.2">
      <c r="A29" s="5">
        <v>288</v>
      </c>
      <c r="B29" s="29" t="s">
        <v>880</v>
      </c>
      <c r="C29" s="29" t="s">
        <v>109</v>
      </c>
      <c r="D29" s="29" t="s">
        <v>107</v>
      </c>
      <c r="E29" s="30" t="s">
        <v>73</v>
      </c>
      <c r="F29" s="4" t="s">
        <v>884</v>
      </c>
      <c r="G29" s="29" t="s">
        <v>235</v>
      </c>
      <c r="H29" s="4" t="s">
        <v>887</v>
      </c>
      <c r="I29" t="s">
        <v>150</v>
      </c>
      <c r="J29" s="4" t="s">
        <v>107</v>
      </c>
      <c r="K29" s="9" t="s">
        <v>107</v>
      </c>
      <c r="L29" s="10" t="s">
        <v>107</v>
      </c>
      <c r="M29" s="10" t="s">
        <v>156</v>
      </c>
      <c r="N29" s="9" t="s">
        <v>107</v>
      </c>
      <c r="O29" s="9" t="s">
        <v>107</v>
      </c>
      <c r="P29" s="9" t="s">
        <v>157</v>
      </c>
      <c r="Q29" s="9" t="s">
        <v>128</v>
      </c>
      <c r="R29" s="9" t="s">
        <v>107</v>
      </c>
      <c r="S29" s="9" t="s">
        <v>107</v>
      </c>
      <c r="T29" s="34" t="str">
        <f t="array" ref="T29">INDEX(Gazetteer!$T$3:$T$9941,MATCH(1,(Q29=Gazetteer!$C$3:$C$9941)*(R29=Gazetteer!$D$3:$D$9941)*(S29=Gazetteer!$E$3:$E$9941),0))</f>
        <v>-</v>
      </c>
      <c r="U29" s="34" t="str">
        <f t="array" ref="U29">INDEX(Gazetteer!$U$3:$U$9941,MATCH(1,(Q29=Gazetteer!$C$3:$C$9941)*(R29=Gazetteer!$D$3:$D$9941)*(S29=Gazetteer!$E$3:$E$9941),0))</f>
        <v>-</v>
      </c>
      <c r="V29" s="34">
        <f>INDEX(Ref!C:C,MATCH(W29,Ref!B:B,0))</f>
        <v>2000</v>
      </c>
      <c r="W29" s="36" t="s">
        <v>1169</v>
      </c>
      <c r="X29" s="5">
        <v>100</v>
      </c>
      <c r="Y29" s="11" t="s">
        <v>107</v>
      </c>
      <c r="Z29" s="5" t="s">
        <v>107</v>
      </c>
      <c r="AA29" t="s">
        <v>107</v>
      </c>
    </row>
    <row r="30" spans="1:27" x14ac:dyDescent="0.2">
      <c r="A30" s="5">
        <v>494</v>
      </c>
      <c r="B30" s="29" t="s">
        <v>880</v>
      </c>
      <c r="C30" s="29" t="s">
        <v>109</v>
      </c>
      <c r="D30" s="29" t="s">
        <v>107</v>
      </c>
      <c r="E30" s="30" t="s">
        <v>73</v>
      </c>
      <c r="F30" s="4" t="s">
        <v>884</v>
      </c>
      <c r="G30" s="29" t="s">
        <v>235</v>
      </c>
      <c r="H30" s="4" t="s">
        <v>107</v>
      </c>
      <c r="I30" t="s">
        <v>150</v>
      </c>
      <c r="J30" s="4" t="s">
        <v>107</v>
      </c>
      <c r="K30" s="9" t="s">
        <v>107</v>
      </c>
      <c r="L30" s="10" t="s">
        <v>107</v>
      </c>
      <c r="M30" s="10" t="s">
        <v>156</v>
      </c>
      <c r="N30" s="9" t="s">
        <v>107</v>
      </c>
      <c r="O30" s="9" t="s">
        <v>107</v>
      </c>
      <c r="P30" s="9" t="s">
        <v>157</v>
      </c>
      <c r="Q30" s="9" t="s">
        <v>128</v>
      </c>
      <c r="R30" s="9" t="s">
        <v>107</v>
      </c>
      <c r="S30" s="9" t="s">
        <v>107</v>
      </c>
      <c r="T30" s="34" t="str">
        <f t="array" ref="T30">INDEX(Gazetteer!$T$3:$T$9941,MATCH(1,(Q30=Gazetteer!$C$3:$C$9941)*(R30=Gazetteer!$D$3:$D$9941)*(S30=Gazetteer!$E$3:$E$9941),0))</f>
        <v>-</v>
      </c>
      <c r="U30" s="34" t="str">
        <f t="array" ref="U30">INDEX(Gazetteer!$U$3:$U$9941,MATCH(1,(Q30=Gazetteer!$C$3:$C$9941)*(R30=Gazetteer!$D$3:$D$9941)*(S30=Gazetteer!$E$3:$E$9941),0))</f>
        <v>-</v>
      </c>
      <c r="V30" s="34">
        <f>INDEX(Ref!C:C,MATCH(W30,Ref!B:B,0))</f>
        <v>2017</v>
      </c>
      <c r="W30" s="36" t="s">
        <v>1165</v>
      </c>
      <c r="X30" s="5" t="s">
        <v>957</v>
      </c>
      <c r="Y30" s="11" t="s">
        <v>220</v>
      </c>
      <c r="Z30" s="5" t="s">
        <v>107</v>
      </c>
      <c r="AA30" t="s">
        <v>107</v>
      </c>
    </row>
    <row r="31" spans="1:27" x14ac:dyDescent="0.2">
      <c r="A31" s="5">
        <v>21</v>
      </c>
      <c r="B31" s="29" t="s">
        <v>880</v>
      </c>
      <c r="C31" s="29" t="s">
        <v>109</v>
      </c>
      <c r="D31" s="29" t="s">
        <v>107</v>
      </c>
      <c r="E31" s="30" t="s">
        <v>73</v>
      </c>
      <c r="F31" s="4" t="s">
        <v>884</v>
      </c>
      <c r="G31" s="29" t="s">
        <v>235</v>
      </c>
      <c r="H31" s="4" t="s">
        <v>236</v>
      </c>
      <c r="I31" t="s">
        <v>150</v>
      </c>
      <c r="J31" s="4" t="s">
        <v>107</v>
      </c>
      <c r="K31" s="9" t="s">
        <v>107</v>
      </c>
      <c r="L31" s="10" t="s">
        <v>107</v>
      </c>
      <c r="M31" s="10" t="s">
        <v>156</v>
      </c>
      <c r="N31" s="9" t="s">
        <v>189</v>
      </c>
      <c r="O31" s="9" t="s">
        <v>190</v>
      </c>
      <c r="P31" s="9" t="s">
        <v>157</v>
      </c>
      <c r="Q31" s="9" t="s">
        <v>128</v>
      </c>
      <c r="R31" s="9" t="s">
        <v>237</v>
      </c>
      <c r="S31" s="9" t="s">
        <v>238</v>
      </c>
      <c r="T31" s="34" t="str">
        <f t="array" ref="T31">INDEX(Gazetteer!$T$3:$T$9941,MATCH(1,(Q31=Gazetteer!$C$3:$C$9941)*(R31=Gazetteer!$D$3:$D$9941)*(S31=Gazetteer!$E$3:$E$9941),0))</f>
        <v>23º10.00′N</v>
      </c>
      <c r="U31" s="34" t="str">
        <f t="array" ref="U31">INDEX(Gazetteer!$U$3:$U$9941,MATCH(1,(Q31=Gazetteer!$C$3:$C$9941)*(R31=Gazetteer!$D$3:$D$9941)*(S31=Gazetteer!$E$3:$E$9941),0))</f>
        <v>079º56.00′E</v>
      </c>
      <c r="V31" s="34">
        <f>INDEX(Ref!C:C,MATCH(W31,Ref!B:B,0))</f>
        <v>1972</v>
      </c>
      <c r="W31" s="37" t="s">
        <v>1180</v>
      </c>
      <c r="X31" s="5">
        <v>197</v>
      </c>
      <c r="Y31" s="11" t="s">
        <v>107</v>
      </c>
      <c r="Z31" s="5" t="s">
        <v>107</v>
      </c>
      <c r="AA31" t="s">
        <v>107</v>
      </c>
    </row>
    <row r="32" spans="1:27" x14ac:dyDescent="0.2">
      <c r="A32" s="5">
        <v>23</v>
      </c>
      <c r="B32" s="29" t="s">
        <v>880</v>
      </c>
      <c r="C32" s="29" t="s">
        <v>109</v>
      </c>
      <c r="D32" s="29" t="s">
        <v>107</v>
      </c>
      <c r="E32" s="30" t="s">
        <v>73</v>
      </c>
      <c r="F32" s="4" t="s">
        <v>26</v>
      </c>
      <c r="G32" s="29" t="s">
        <v>241</v>
      </c>
      <c r="H32" s="4" t="s">
        <v>246</v>
      </c>
      <c r="I32" t="s">
        <v>150</v>
      </c>
      <c r="J32" s="4" t="s">
        <v>107</v>
      </c>
      <c r="K32" s="9" t="s">
        <v>107</v>
      </c>
      <c r="L32" s="10" t="s">
        <v>107</v>
      </c>
      <c r="M32" s="10" t="s">
        <v>107</v>
      </c>
      <c r="N32" s="9" t="s">
        <v>107</v>
      </c>
      <c r="O32" s="9" t="s">
        <v>107</v>
      </c>
      <c r="P32" s="9" t="s">
        <v>157</v>
      </c>
      <c r="Q32" s="9" t="s">
        <v>128</v>
      </c>
      <c r="R32" s="9" t="s">
        <v>247</v>
      </c>
      <c r="S32" s="9" t="s">
        <v>248</v>
      </c>
      <c r="T32" s="34" t="str">
        <f t="array" ref="T32">INDEX(Gazetteer!$T$3:$T$9941,MATCH(1,(Q32=Gazetteer!$C$3:$C$9941)*(R32=Gazetteer!$D$3:$D$9941)*(S32=Gazetteer!$E$3:$E$9941),0))</f>
        <v>22º24.38′N</v>
      </c>
      <c r="U32" s="34" t="str">
        <f t="array" ref="U32">INDEX(Gazetteer!$U$3:$U$9941,MATCH(1,(Q32=Gazetteer!$C$3:$C$9941)*(R32=Gazetteer!$D$3:$D$9941)*(S32=Gazetteer!$E$3:$E$9941),0))</f>
        <v>073º37.09′E</v>
      </c>
      <c r="V32" s="34">
        <f>INDEX(Ref!C:C,MATCH(W32,Ref!B:B,0))</f>
        <v>2011</v>
      </c>
      <c r="W32" s="39" t="s">
        <v>1181</v>
      </c>
      <c r="X32" s="5">
        <v>165</v>
      </c>
      <c r="Y32" s="11" t="s">
        <v>107</v>
      </c>
      <c r="Z32" s="5" t="s">
        <v>107</v>
      </c>
      <c r="AA32" t="s">
        <v>107</v>
      </c>
    </row>
    <row r="33" spans="1:27" x14ac:dyDescent="0.2">
      <c r="A33" s="5">
        <v>22</v>
      </c>
      <c r="B33" s="29" t="s">
        <v>880</v>
      </c>
      <c r="C33" s="29" t="s">
        <v>109</v>
      </c>
      <c r="D33" s="29" t="s">
        <v>107</v>
      </c>
      <c r="E33" s="30" t="s">
        <v>73</v>
      </c>
      <c r="F33" s="4" t="s">
        <v>26</v>
      </c>
      <c r="G33" s="29" t="s">
        <v>241</v>
      </c>
      <c r="H33" s="4" t="s">
        <v>242</v>
      </c>
      <c r="I33" t="s">
        <v>150</v>
      </c>
      <c r="J33" s="4" t="s">
        <v>107</v>
      </c>
      <c r="K33" s="9" t="s">
        <v>107</v>
      </c>
      <c r="L33" s="10" t="s">
        <v>107</v>
      </c>
      <c r="M33" s="10" t="s">
        <v>130</v>
      </c>
      <c r="N33" s="9" t="s">
        <v>107</v>
      </c>
      <c r="O33" s="9" t="s">
        <v>107</v>
      </c>
      <c r="P33" s="9" t="s">
        <v>178</v>
      </c>
      <c r="Q33" s="9" t="s">
        <v>128</v>
      </c>
      <c r="R33" s="9" t="s">
        <v>243</v>
      </c>
      <c r="S33" s="9" t="s">
        <v>244</v>
      </c>
      <c r="T33" s="34" t="str">
        <f t="array" ref="T33">INDEX(Gazetteer!$T$3:$T$9941,MATCH(1,(Q33=Gazetteer!$C$3:$C$9941)*(R33=Gazetteer!$D$3:$D$9941)*(S33=Gazetteer!$E$3:$E$9941),0))</f>
        <v>26º16.92′N</v>
      </c>
      <c r="U33" s="34" t="str">
        <f t="array" ref="U33">INDEX(Gazetteer!$U$3:$U$9941,MATCH(1,(Q33=Gazetteer!$C$3:$C$9941)*(R33=Gazetteer!$D$3:$D$9941)*(S33=Gazetteer!$E$3:$E$9941),0))</f>
        <v>073º01.33′E</v>
      </c>
      <c r="V33" s="34">
        <f>INDEX(Ref!C:C,MATCH(W33,Ref!B:B,0))</f>
        <v>1988</v>
      </c>
      <c r="W33" s="39" t="s">
        <v>1182</v>
      </c>
      <c r="X33" s="5">
        <v>608</v>
      </c>
      <c r="Y33" s="11" t="s">
        <v>107</v>
      </c>
      <c r="Z33" s="5" t="s">
        <v>107</v>
      </c>
      <c r="AA33" t="s">
        <v>107</v>
      </c>
    </row>
    <row r="34" spans="1:27" x14ac:dyDescent="0.2">
      <c r="A34" s="5">
        <v>273</v>
      </c>
      <c r="B34" s="29" t="s">
        <v>865</v>
      </c>
      <c r="C34" s="29" t="s">
        <v>126</v>
      </c>
      <c r="D34" s="29" t="s">
        <v>843</v>
      </c>
      <c r="E34" s="30" t="s">
        <v>844</v>
      </c>
      <c r="F34" s="4" t="s">
        <v>842</v>
      </c>
      <c r="G34" s="29" t="s">
        <v>845</v>
      </c>
      <c r="H34" s="4" t="s">
        <v>107</v>
      </c>
      <c r="I34" t="s">
        <v>150</v>
      </c>
      <c r="J34" s="4" t="s">
        <v>107</v>
      </c>
      <c r="K34" s="9" t="s">
        <v>107</v>
      </c>
      <c r="L34" s="10" t="s">
        <v>107</v>
      </c>
      <c r="M34" s="10" t="s">
        <v>130</v>
      </c>
      <c r="N34" s="9" t="s">
        <v>189</v>
      </c>
      <c r="O34" s="8" t="s">
        <v>107</v>
      </c>
      <c r="P34" s="8" t="s">
        <v>157</v>
      </c>
      <c r="Q34" t="s">
        <v>283</v>
      </c>
      <c r="R34" t="s">
        <v>847</v>
      </c>
      <c r="S34" t="s">
        <v>848</v>
      </c>
      <c r="T34" s="34" t="str">
        <f t="array" ref="T34">INDEX(Gazetteer!$T$3:$T$9941,MATCH(1,(Q34=Gazetteer!$C$3:$C$9941)*(R34=Gazetteer!$D$3:$D$9941)*(S34=Gazetteer!$E$3:$E$9941),0))</f>
        <v>06º06.32′S</v>
      </c>
      <c r="U34" s="34" t="str">
        <f t="array" ref="U34">INDEX(Gazetteer!$U$3:$U$9941,MATCH(1,(Q34=Gazetteer!$C$3:$C$9941)*(R34=Gazetteer!$D$3:$D$9941)*(S34=Gazetteer!$E$3:$E$9941),0))</f>
        <v>050º09.10′W</v>
      </c>
      <c r="V34" s="34">
        <f>INDEX(Ref!C:C,MATCH(W34,Ref!B:B,0))</f>
        <v>2019</v>
      </c>
      <c r="W34" s="38" t="s">
        <v>1183</v>
      </c>
      <c r="X34" s="5">
        <v>36</v>
      </c>
      <c r="Y34" s="11" t="s">
        <v>107</v>
      </c>
      <c r="Z34" s="5" t="s">
        <v>107</v>
      </c>
      <c r="AA34" t="s">
        <v>107</v>
      </c>
    </row>
    <row r="35" spans="1:27" x14ac:dyDescent="0.2">
      <c r="A35" s="5">
        <v>274</v>
      </c>
      <c r="B35" s="29" t="s">
        <v>865</v>
      </c>
      <c r="C35" s="29" t="s">
        <v>126</v>
      </c>
      <c r="D35" s="29" t="s">
        <v>843</v>
      </c>
      <c r="E35" s="30" t="s">
        <v>844</v>
      </c>
      <c r="F35" s="4" t="s">
        <v>842</v>
      </c>
      <c r="G35" s="29" t="s">
        <v>845</v>
      </c>
      <c r="H35" s="4" t="s">
        <v>107</v>
      </c>
      <c r="I35" t="s">
        <v>150</v>
      </c>
      <c r="J35" s="4" t="s">
        <v>107</v>
      </c>
      <c r="K35" s="9" t="s">
        <v>107</v>
      </c>
      <c r="L35" s="10" t="s">
        <v>107</v>
      </c>
      <c r="M35" s="10" t="s">
        <v>107</v>
      </c>
      <c r="N35" s="9" t="s">
        <v>177</v>
      </c>
      <c r="O35" s="8" t="s">
        <v>107</v>
      </c>
      <c r="P35" s="8" t="s">
        <v>157</v>
      </c>
      <c r="Q35" t="s">
        <v>283</v>
      </c>
      <c r="R35" t="s">
        <v>847</v>
      </c>
      <c r="S35" t="s">
        <v>849</v>
      </c>
      <c r="T35" s="34" t="str">
        <f t="array" ref="T35">INDEX(Gazetteer!$T$3:$T$9941,MATCH(1,(Q35=Gazetteer!$C$3:$C$9941)*(R35=Gazetteer!$D$3:$D$9941)*(S35=Gazetteer!$E$3:$E$9941),0))</f>
        <v>06º24.11′S</v>
      </c>
      <c r="U35" s="34" t="str">
        <f t="array" ref="U35">INDEX(Gazetteer!$U$3:$U$9941,MATCH(1,(Q35=Gazetteer!$C$3:$C$9941)*(R35=Gazetteer!$D$3:$D$9941)*(S35=Gazetteer!$E$3:$E$9941),0))</f>
        <v>050º21.10′W</v>
      </c>
      <c r="V35" s="34">
        <f>INDEX(Ref!C:C,MATCH(W35,Ref!B:B,0))</f>
        <v>2019</v>
      </c>
      <c r="W35" s="38" t="s">
        <v>1183</v>
      </c>
      <c r="X35" s="5">
        <v>36</v>
      </c>
      <c r="Y35" s="11" t="s">
        <v>107</v>
      </c>
      <c r="Z35" s="5" t="s">
        <v>107</v>
      </c>
      <c r="AA35" t="s">
        <v>107</v>
      </c>
    </row>
    <row r="36" spans="1:27" x14ac:dyDescent="0.2">
      <c r="A36" s="5">
        <v>25</v>
      </c>
      <c r="B36" s="29" t="s">
        <v>865</v>
      </c>
      <c r="C36" s="29" t="s">
        <v>106</v>
      </c>
      <c r="D36" s="29" t="s">
        <v>107</v>
      </c>
      <c r="E36" s="30" t="s">
        <v>74</v>
      </c>
      <c r="F36" s="4" t="s">
        <v>64</v>
      </c>
      <c r="G36" s="29" t="s">
        <v>881</v>
      </c>
      <c r="H36" s="4" t="s">
        <v>107</v>
      </c>
      <c r="I36" t="s">
        <v>150</v>
      </c>
      <c r="J36" s="4" t="s">
        <v>107</v>
      </c>
      <c r="K36" s="9" t="s">
        <v>260</v>
      </c>
      <c r="L36" s="10" t="s">
        <v>255</v>
      </c>
      <c r="M36" s="10" t="s">
        <v>156</v>
      </c>
      <c r="N36" s="9" t="s">
        <v>189</v>
      </c>
      <c r="O36" s="9" t="s">
        <v>259</v>
      </c>
      <c r="P36" s="9" t="s">
        <v>256</v>
      </c>
      <c r="Q36" s="9" t="s">
        <v>204</v>
      </c>
      <c r="R36" s="9" t="s">
        <v>258</v>
      </c>
      <c r="S36" s="9" t="s">
        <v>257</v>
      </c>
      <c r="T36" s="34" t="str">
        <f t="array" ref="T36">INDEX(Gazetteer!$T$3:$T$9941,MATCH(1,(Q36=Gazetteer!$C$3:$C$9941)*(R36=Gazetteer!$D$3:$D$9941)*(S36=Gazetteer!$E$3:$E$9941),0))</f>
        <v>04º20.00′N</v>
      </c>
      <c r="U36" s="34" t="str">
        <f t="array" ref="U36">INDEX(Gazetteer!$U$3:$U$9941,MATCH(1,(Q36=Gazetteer!$C$3:$C$9941)*(R36=Gazetteer!$D$3:$D$9941)*(S36=Gazetteer!$E$3:$E$9941),0))</f>
        <v>029º35.00′E</v>
      </c>
      <c r="V36" s="34">
        <f>INDEX(Ref!C:C,MATCH(W36,Ref!B:B,0))</f>
        <v>1955</v>
      </c>
      <c r="W36" s="36" t="s">
        <v>1184</v>
      </c>
      <c r="X36" s="5">
        <v>3</v>
      </c>
      <c r="Y36" s="11" t="s">
        <v>107</v>
      </c>
      <c r="Z36" s="5" t="s">
        <v>107</v>
      </c>
      <c r="AA36" t="s">
        <v>107</v>
      </c>
    </row>
    <row r="37" spans="1:27" x14ac:dyDescent="0.2">
      <c r="A37" s="5">
        <v>454</v>
      </c>
      <c r="B37" s="29" t="s">
        <v>866</v>
      </c>
      <c r="C37" s="29" t="s">
        <v>110</v>
      </c>
      <c r="D37" s="29" t="s">
        <v>111</v>
      </c>
      <c r="E37" s="30" t="s">
        <v>75</v>
      </c>
      <c r="F37" s="4" t="s">
        <v>27</v>
      </c>
      <c r="G37" s="29" t="s">
        <v>261</v>
      </c>
      <c r="H37" s="4" t="s">
        <v>107</v>
      </c>
      <c r="I37" t="s">
        <v>150</v>
      </c>
      <c r="J37" s="4" t="s">
        <v>107</v>
      </c>
      <c r="K37" s="9" t="s">
        <v>107</v>
      </c>
      <c r="L37" s="10" t="s">
        <v>107</v>
      </c>
      <c r="M37" s="10" t="s">
        <v>130</v>
      </c>
      <c r="N37" s="9" t="s">
        <v>107</v>
      </c>
      <c r="O37" s="9" t="s">
        <v>107</v>
      </c>
      <c r="P37" s="9" t="s">
        <v>157</v>
      </c>
      <c r="Q37" s="9" t="s">
        <v>263</v>
      </c>
      <c r="R37" s="9" t="s">
        <v>107</v>
      </c>
      <c r="S37" s="9" t="s">
        <v>107</v>
      </c>
      <c r="T37" s="34" t="str">
        <f t="array" ref="T37">INDEX(Gazetteer!$T$3:$T$9941,MATCH(1,(Q37=Gazetteer!$C$3:$C$9941)*(R37=Gazetteer!$D$3:$D$9941)*(S37=Gazetteer!$E$3:$E$9941),0))</f>
        <v>23º38.07′N</v>
      </c>
      <c r="U37" s="34" t="str">
        <f t="array" ref="U37">INDEX(Gazetteer!$U$3:$U$9941,MATCH(1,(Q37=Gazetteer!$C$3:$C$9941)*(R37=Gazetteer!$D$3:$D$9941)*(S37=Gazetteer!$E$3:$E$9941),0))</f>
        <v>102º33.17′W</v>
      </c>
      <c r="V37" s="34">
        <f>INDEX(Ref!C:C,MATCH(W37,Ref!B:B,0))</f>
        <v>2017</v>
      </c>
      <c r="W37" s="36" t="s">
        <v>1165</v>
      </c>
      <c r="X37" s="5" t="s">
        <v>957</v>
      </c>
      <c r="Y37" s="11" t="s">
        <v>963</v>
      </c>
      <c r="Z37" s="5" t="s">
        <v>107</v>
      </c>
      <c r="AA37" t="s">
        <v>107</v>
      </c>
    </row>
    <row r="38" spans="1:27" x14ac:dyDescent="0.2">
      <c r="A38" s="5">
        <v>252</v>
      </c>
      <c r="B38" s="29" t="s">
        <v>866</v>
      </c>
      <c r="C38" s="29" t="s">
        <v>110</v>
      </c>
      <c r="D38" s="29" t="s">
        <v>113</v>
      </c>
      <c r="E38" s="30" t="s">
        <v>76</v>
      </c>
      <c r="F38" s="4" t="s">
        <v>793</v>
      </c>
      <c r="G38" s="29" t="s">
        <v>691</v>
      </c>
      <c r="H38" s="4" t="s">
        <v>107</v>
      </c>
      <c r="I38" t="s">
        <v>150</v>
      </c>
      <c r="J38" s="4" t="s">
        <v>107</v>
      </c>
      <c r="K38" s="9" t="s">
        <v>794</v>
      </c>
      <c r="L38" s="10">
        <v>1550</v>
      </c>
      <c r="M38" s="10" t="s">
        <v>156</v>
      </c>
      <c r="N38" s="9" t="s">
        <v>189</v>
      </c>
      <c r="O38" s="9" t="s">
        <v>107</v>
      </c>
      <c r="P38" s="9" t="s">
        <v>184</v>
      </c>
      <c r="Q38" s="9" t="s">
        <v>750</v>
      </c>
      <c r="R38" s="9" t="s">
        <v>791</v>
      </c>
      <c r="S38" s="9" t="s">
        <v>792</v>
      </c>
      <c r="T38" s="34" t="str">
        <f t="array" ref="T38">INDEX(Gazetteer!$T$3:$T$9941,MATCH(1,(Q38=Gazetteer!$C$3:$C$9941)*(R38=Gazetteer!$D$3:$D$9941)*(S38=Gazetteer!$E$3:$E$9941),0))</f>
        <v>09º56.00′N</v>
      </c>
      <c r="U38" s="34" t="str">
        <f t="array" ref="U38">INDEX(Gazetteer!$U$3:$U$9941,MATCH(1,(Q38=Gazetteer!$C$3:$C$9941)*(R38=Gazetteer!$D$3:$D$9941)*(S38=Gazetteer!$E$3:$E$9941),0))</f>
        <v>084º12.00′W</v>
      </c>
      <c r="V38" s="34">
        <f>INDEX(Ref!C:C,MATCH(W38,Ref!B:B,0))</f>
        <v>2010</v>
      </c>
      <c r="W38" s="36" t="s">
        <v>1185</v>
      </c>
      <c r="X38" s="5">
        <v>60</v>
      </c>
      <c r="Y38" s="11" t="s">
        <v>107</v>
      </c>
      <c r="Z38" s="5" t="s">
        <v>107</v>
      </c>
      <c r="AA38" t="s">
        <v>107</v>
      </c>
    </row>
    <row r="39" spans="1:27" x14ac:dyDescent="0.2">
      <c r="A39" s="5">
        <v>42</v>
      </c>
      <c r="B39" s="29" t="s">
        <v>866</v>
      </c>
      <c r="C39" s="29" t="s">
        <v>110</v>
      </c>
      <c r="D39" s="29" t="s">
        <v>114</v>
      </c>
      <c r="E39" s="30" t="s">
        <v>77</v>
      </c>
      <c r="F39" s="4" t="s">
        <v>28</v>
      </c>
      <c r="G39" s="29" t="s">
        <v>275</v>
      </c>
      <c r="H39" s="4" t="s">
        <v>107</v>
      </c>
      <c r="I39" t="s">
        <v>150</v>
      </c>
      <c r="J39" s="4" t="s">
        <v>107</v>
      </c>
      <c r="K39" s="9" t="s">
        <v>107</v>
      </c>
      <c r="L39" s="10" t="s">
        <v>107</v>
      </c>
      <c r="M39" s="10" t="s">
        <v>107</v>
      </c>
      <c r="N39" s="8" t="s">
        <v>107</v>
      </c>
      <c r="O39" s="8" t="s">
        <v>107</v>
      </c>
      <c r="P39" s="8" t="s">
        <v>178</v>
      </c>
      <c r="Q39" t="s">
        <v>135</v>
      </c>
      <c r="R39" t="s">
        <v>136</v>
      </c>
      <c r="S39" t="s">
        <v>137</v>
      </c>
      <c r="T39" s="34" t="str">
        <f t="array" ref="T39">INDEX(Gazetteer!$T$3:$T$9941,MATCH(1,(Q39=Gazetteer!$C$3:$C$9941)*(R39=Gazetteer!$D$3:$D$9941)*(S39=Gazetteer!$E$3:$E$9941),0))</f>
        <v>28º30.45′S</v>
      </c>
      <c r="U39" s="34" t="str">
        <f t="array" ref="U39">INDEX(Gazetteer!$U$3:$U$9941,MATCH(1,(Q39=Gazetteer!$C$3:$C$9941)*(R39=Gazetteer!$D$3:$D$9941)*(S39=Gazetteer!$E$3:$E$9941),0))</f>
        <v>059º02.68′W</v>
      </c>
      <c r="V39" s="34">
        <f>INDEX(Ref!C:C,MATCH(W39,Ref!B:B,0))</f>
        <v>2010</v>
      </c>
      <c r="W39" s="37" t="s">
        <v>1186</v>
      </c>
      <c r="X39" s="5">
        <v>64</v>
      </c>
      <c r="Y39" s="11" t="s">
        <v>107</v>
      </c>
      <c r="Z39" s="5" t="s">
        <v>107</v>
      </c>
      <c r="AA39" t="s">
        <v>107</v>
      </c>
    </row>
    <row r="40" spans="1:27" x14ac:dyDescent="0.2">
      <c r="A40" s="5">
        <v>444</v>
      </c>
      <c r="B40" s="29" t="s">
        <v>866</v>
      </c>
      <c r="C40" s="29" t="s">
        <v>110</v>
      </c>
      <c r="D40" s="29" t="s">
        <v>114</v>
      </c>
      <c r="E40" s="30" t="s">
        <v>77</v>
      </c>
      <c r="F40" s="4" t="s">
        <v>28</v>
      </c>
      <c r="G40" s="29" t="s">
        <v>275</v>
      </c>
      <c r="H40" s="4" t="s">
        <v>107</v>
      </c>
      <c r="I40" t="s">
        <v>150</v>
      </c>
      <c r="J40" s="4" t="s">
        <v>107</v>
      </c>
      <c r="K40" s="9" t="s">
        <v>107</v>
      </c>
      <c r="L40" s="10" t="s">
        <v>107</v>
      </c>
      <c r="M40" s="10" t="s">
        <v>130</v>
      </c>
      <c r="N40" s="9" t="s">
        <v>107</v>
      </c>
      <c r="O40" s="9" t="s">
        <v>107</v>
      </c>
      <c r="P40" s="9" t="s">
        <v>157</v>
      </c>
      <c r="Q40" s="9" t="s">
        <v>283</v>
      </c>
      <c r="R40" s="9" t="s">
        <v>107</v>
      </c>
      <c r="S40" s="9" t="s">
        <v>107</v>
      </c>
      <c r="T40" s="34" t="str">
        <f t="array" ref="T40">INDEX(Gazetteer!$T$3:$T$9941,MATCH(1,(Q40=Gazetteer!$C$3:$C$9941)*(R40=Gazetteer!$D$3:$D$9941)*(S40=Gazetteer!$E$3:$E$9941),0))</f>
        <v>-</v>
      </c>
      <c r="U40" s="34" t="str">
        <f t="array" ref="U40">INDEX(Gazetteer!$U$3:$U$9941,MATCH(1,(Q40=Gazetteer!$C$3:$C$9941)*(R40=Gazetteer!$D$3:$D$9941)*(S40=Gazetteer!$E$3:$E$9941),0))</f>
        <v>-</v>
      </c>
      <c r="V40" s="34">
        <f>INDEX(Ref!C:C,MATCH(W40,Ref!B:B,0))</f>
        <v>2017</v>
      </c>
      <c r="W40" s="36" t="s">
        <v>1165</v>
      </c>
      <c r="X40" s="5" t="s">
        <v>957</v>
      </c>
      <c r="Y40" s="11" t="s">
        <v>969</v>
      </c>
      <c r="Z40" s="5" t="s">
        <v>107</v>
      </c>
      <c r="AA40" t="s">
        <v>107</v>
      </c>
    </row>
    <row r="41" spans="1:27" x14ac:dyDescent="0.2">
      <c r="A41" s="5">
        <v>37</v>
      </c>
      <c r="B41" s="29" t="s">
        <v>866</v>
      </c>
      <c r="C41" s="29" t="s">
        <v>110</v>
      </c>
      <c r="D41" s="29" t="s">
        <v>114</v>
      </c>
      <c r="E41" s="30" t="s">
        <v>77</v>
      </c>
      <c r="F41" s="4" t="s">
        <v>28</v>
      </c>
      <c r="G41" s="29" t="s">
        <v>275</v>
      </c>
      <c r="H41" s="4" t="s">
        <v>276</v>
      </c>
      <c r="I41" t="s">
        <v>150</v>
      </c>
      <c r="J41" s="4" t="s">
        <v>107</v>
      </c>
      <c r="K41" s="9" t="s">
        <v>286</v>
      </c>
      <c r="L41" s="10" t="s">
        <v>107</v>
      </c>
      <c r="M41" s="10" t="s">
        <v>130</v>
      </c>
      <c r="N41" s="9" t="s">
        <v>189</v>
      </c>
      <c r="O41" s="9" t="s">
        <v>190</v>
      </c>
      <c r="P41" s="9" t="s">
        <v>107</v>
      </c>
      <c r="Q41" s="9" t="s">
        <v>283</v>
      </c>
      <c r="R41" s="9" t="s">
        <v>284</v>
      </c>
      <c r="S41" s="9" t="s">
        <v>285</v>
      </c>
      <c r="T41" s="34" t="str">
        <f t="array" ref="T41">INDEX(Gazetteer!$T$3:$T$9941,MATCH(1,(Q41=Gazetteer!$C$3:$C$9941)*(R41=Gazetteer!$D$3:$D$9941)*(S41=Gazetteer!$E$3:$E$9941),0))</f>
        <v>16º11.00′S</v>
      </c>
      <c r="U41" s="34" t="str">
        <f t="array" ref="U41">INDEX(Gazetteer!$U$3:$U$9941,MATCH(1,(Q41=Gazetteer!$C$3:$C$9941)*(R41=Gazetteer!$D$3:$D$9941)*(S41=Gazetteer!$E$3:$E$9941),0))</f>
        <v>040º42.00′W</v>
      </c>
      <c r="V41" s="34">
        <f>INDEX(Ref!C:C,MATCH(W41,Ref!B:B,0))</f>
        <v>1992</v>
      </c>
      <c r="W41" s="37" t="s">
        <v>1187</v>
      </c>
      <c r="X41" s="5">
        <v>550</v>
      </c>
      <c r="Y41" s="11" t="s">
        <v>107</v>
      </c>
      <c r="Z41" s="5" t="s">
        <v>107</v>
      </c>
      <c r="AA41" t="s">
        <v>107</v>
      </c>
    </row>
    <row r="42" spans="1:27" x14ac:dyDescent="0.2">
      <c r="A42" s="5">
        <v>39</v>
      </c>
      <c r="B42" s="29" t="s">
        <v>866</v>
      </c>
      <c r="C42" s="29" t="s">
        <v>110</v>
      </c>
      <c r="D42" s="29" t="s">
        <v>114</v>
      </c>
      <c r="E42" s="30" t="s">
        <v>77</v>
      </c>
      <c r="F42" s="4" t="s">
        <v>28</v>
      </c>
      <c r="G42" s="29" t="s">
        <v>275</v>
      </c>
      <c r="H42" s="4" t="s">
        <v>107</v>
      </c>
      <c r="I42" t="s">
        <v>150</v>
      </c>
      <c r="J42" s="4" t="s">
        <v>107</v>
      </c>
      <c r="K42" s="9" t="s">
        <v>107</v>
      </c>
      <c r="L42" s="10" t="s">
        <v>107</v>
      </c>
      <c r="M42" s="10" t="s">
        <v>130</v>
      </c>
      <c r="N42" s="8" t="s">
        <v>107</v>
      </c>
      <c r="O42" s="8" t="s">
        <v>107</v>
      </c>
      <c r="P42" s="8" t="s">
        <v>107</v>
      </c>
      <c r="Q42" s="9" t="s">
        <v>283</v>
      </c>
      <c r="R42" t="s">
        <v>287</v>
      </c>
      <c r="S42" t="s">
        <v>288</v>
      </c>
      <c r="T42" s="34" t="str">
        <f t="array" ref="T42">INDEX(Gazetteer!$T$3:$T$9941,MATCH(1,(Q42=Gazetteer!$C$3:$C$9941)*(R42=Gazetteer!$D$3:$D$9941)*(S42=Gazetteer!$E$3:$E$9941),0))</f>
        <v>24º48.00′S</v>
      </c>
      <c r="U42" s="34" t="str">
        <f t="array" ref="U42">INDEX(Gazetteer!$U$3:$U$9941,MATCH(1,(Q42=Gazetteer!$C$3:$C$9941)*(R42=Gazetteer!$D$3:$D$9941)*(S42=Gazetteer!$E$3:$E$9941),0))</f>
        <v>050º00.00′W</v>
      </c>
      <c r="V42" s="34">
        <f>INDEX(Ref!C:C,MATCH(W42,Ref!B:B,0))</f>
        <v>2000</v>
      </c>
      <c r="W42" s="36" t="s">
        <v>1169</v>
      </c>
      <c r="X42" s="5">
        <v>98</v>
      </c>
      <c r="Y42" s="11" t="s">
        <v>107</v>
      </c>
      <c r="Z42" s="5" t="s">
        <v>107</v>
      </c>
      <c r="AA42" t="s">
        <v>107</v>
      </c>
    </row>
    <row r="43" spans="1:27" x14ac:dyDescent="0.2">
      <c r="A43" s="5">
        <v>40</v>
      </c>
      <c r="B43" s="29" t="s">
        <v>866</v>
      </c>
      <c r="C43" s="29" t="s">
        <v>110</v>
      </c>
      <c r="D43" s="29" t="s">
        <v>114</v>
      </c>
      <c r="E43" s="30" t="s">
        <v>77</v>
      </c>
      <c r="F43" s="4" t="s">
        <v>28</v>
      </c>
      <c r="G43" s="29" t="s">
        <v>275</v>
      </c>
      <c r="H43" s="4" t="s">
        <v>107</v>
      </c>
      <c r="I43" t="s">
        <v>150</v>
      </c>
      <c r="J43" s="4" t="s">
        <v>107</v>
      </c>
      <c r="K43" s="9" t="s">
        <v>107</v>
      </c>
      <c r="L43" s="10" t="s">
        <v>107</v>
      </c>
      <c r="M43" s="10" t="s">
        <v>130</v>
      </c>
      <c r="N43" s="8" t="s">
        <v>189</v>
      </c>
      <c r="O43" s="8" t="s">
        <v>107</v>
      </c>
      <c r="P43" s="8" t="s">
        <v>107</v>
      </c>
      <c r="Q43" s="9" t="s">
        <v>283</v>
      </c>
      <c r="R43" t="s">
        <v>291</v>
      </c>
      <c r="S43" t="s">
        <v>292</v>
      </c>
      <c r="T43" s="34" t="str">
        <f t="array" ref="T43">INDEX(Gazetteer!$T$3:$T$9941,MATCH(1,(Q43=Gazetteer!$C$3:$C$9941)*(R43=Gazetteer!$D$3:$D$9941)*(S43=Gazetteer!$E$3:$E$9941),0))</f>
        <v>05º30.00′S</v>
      </c>
      <c r="U43" s="34" t="str">
        <f t="array" ref="U43">INDEX(Gazetteer!$U$3:$U$9941,MATCH(1,(Q43=Gazetteer!$C$3:$C$9941)*(R43=Gazetteer!$D$3:$D$9941)*(S43=Gazetteer!$E$3:$E$9941),0))</f>
        <v>041º19.00′W</v>
      </c>
      <c r="V43" s="34">
        <f>INDEX(Ref!C:C,MATCH(W43,Ref!B:B,0))</f>
        <v>2000</v>
      </c>
      <c r="W43" s="36" t="s">
        <v>1169</v>
      </c>
      <c r="X43" s="5">
        <v>98</v>
      </c>
      <c r="Y43" s="11" t="s">
        <v>107</v>
      </c>
      <c r="Z43" s="5" t="s">
        <v>107</v>
      </c>
      <c r="AA43" t="s">
        <v>107</v>
      </c>
    </row>
    <row r="44" spans="1:27" x14ac:dyDescent="0.2">
      <c r="A44" s="5">
        <v>41</v>
      </c>
      <c r="B44" s="29" t="s">
        <v>866</v>
      </c>
      <c r="C44" s="29" t="s">
        <v>110</v>
      </c>
      <c r="D44" s="29" t="s">
        <v>114</v>
      </c>
      <c r="E44" s="30" t="s">
        <v>77</v>
      </c>
      <c r="F44" s="4" t="s">
        <v>28</v>
      </c>
      <c r="G44" s="29" t="s">
        <v>275</v>
      </c>
      <c r="H44" s="4" t="s">
        <v>107</v>
      </c>
      <c r="I44" t="s">
        <v>150</v>
      </c>
      <c r="J44" s="4" t="s">
        <v>107</v>
      </c>
      <c r="K44" s="9" t="s">
        <v>107</v>
      </c>
      <c r="L44" s="10" t="s">
        <v>107</v>
      </c>
      <c r="M44" s="10" t="s">
        <v>107</v>
      </c>
      <c r="N44" s="8" t="s">
        <v>107</v>
      </c>
      <c r="O44" s="8" t="s">
        <v>107</v>
      </c>
      <c r="P44" s="8" t="s">
        <v>107</v>
      </c>
      <c r="Q44" s="9" t="s">
        <v>283</v>
      </c>
      <c r="R44" t="s">
        <v>291</v>
      </c>
      <c r="S44" t="s">
        <v>293</v>
      </c>
      <c r="T44" s="34" t="str">
        <f t="array" ref="T44">INDEX(Gazetteer!$T$3:$T$9941,MATCH(1,(Q44=Gazetteer!$C$3:$C$9941)*(R44=Gazetteer!$D$3:$D$9941)*(S44=Gazetteer!$E$3:$E$9941),0))</f>
        <v>07º15.00′S</v>
      </c>
      <c r="U44" s="34" t="str">
        <f t="array" ref="U44">INDEX(Gazetteer!$U$3:$U$9941,MATCH(1,(Q44=Gazetteer!$C$3:$C$9941)*(R44=Gazetteer!$D$3:$D$9941)*(S44=Gazetteer!$E$3:$E$9941),0))</f>
        <v>044º33.00′W</v>
      </c>
      <c r="V44" s="34">
        <f>INDEX(Ref!C:C,MATCH(W44,Ref!B:B,0))</f>
        <v>2000</v>
      </c>
      <c r="W44" s="36" t="s">
        <v>1169</v>
      </c>
      <c r="X44" s="5">
        <v>98</v>
      </c>
      <c r="Y44" s="11" t="s">
        <v>107</v>
      </c>
      <c r="Z44" s="5" t="s">
        <v>107</v>
      </c>
      <c r="AA44" t="s">
        <v>107</v>
      </c>
    </row>
    <row r="45" spans="1:27" x14ac:dyDescent="0.2">
      <c r="A45" s="5">
        <v>38</v>
      </c>
      <c r="B45" s="29" t="s">
        <v>866</v>
      </c>
      <c r="C45" s="29" t="s">
        <v>110</v>
      </c>
      <c r="D45" s="29" t="s">
        <v>114</v>
      </c>
      <c r="E45" s="30" t="s">
        <v>77</v>
      </c>
      <c r="F45" s="4" t="s">
        <v>28</v>
      </c>
      <c r="G45" s="29" t="s">
        <v>275</v>
      </c>
      <c r="H45" s="4" t="s">
        <v>107</v>
      </c>
      <c r="I45" t="s">
        <v>150</v>
      </c>
      <c r="J45" s="4" t="s">
        <v>107</v>
      </c>
      <c r="K45" s="9" t="s">
        <v>294</v>
      </c>
      <c r="L45" s="10" t="s">
        <v>107</v>
      </c>
      <c r="M45" s="10" t="s">
        <v>156</v>
      </c>
      <c r="N45" s="9" t="s">
        <v>177</v>
      </c>
      <c r="O45" s="9" t="s">
        <v>107</v>
      </c>
      <c r="P45" s="9" t="s">
        <v>157</v>
      </c>
      <c r="Q45" s="9" t="s">
        <v>283</v>
      </c>
      <c r="R45" s="9" t="s">
        <v>289</v>
      </c>
      <c r="S45" s="9" t="s">
        <v>290</v>
      </c>
      <c r="T45" s="34" t="str">
        <f t="array" ref="T45">INDEX(Gazetteer!$T$3:$T$9941,MATCH(1,(Q45=Gazetteer!$C$3:$C$9941)*(R45=Gazetteer!$D$3:$D$9941)*(S45=Gazetteer!$E$3:$E$9941),0))</f>
        <v>24º31.00′S</v>
      </c>
      <c r="U45" s="34" t="str">
        <f t="array" ref="U45">INDEX(Gazetteer!$U$3:$U$9941,MATCH(1,(Q45=Gazetteer!$C$3:$C$9941)*(R45=Gazetteer!$D$3:$D$9941)*(S45=Gazetteer!$E$3:$E$9941),0))</f>
        <v>048º51.00′W</v>
      </c>
      <c r="V45" s="34">
        <f>INDEX(Ref!C:C,MATCH(W45,Ref!B:B,0))</f>
        <v>2000</v>
      </c>
      <c r="W45" s="36" t="s">
        <v>1169</v>
      </c>
      <c r="X45" s="5">
        <v>98</v>
      </c>
      <c r="Y45" s="11" t="s">
        <v>107</v>
      </c>
      <c r="Z45" s="5" t="s">
        <v>107</v>
      </c>
      <c r="AA45" t="s">
        <v>295</v>
      </c>
    </row>
    <row r="46" spans="1:27" x14ac:dyDescent="0.2">
      <c r="A46" s="5">
        <v>330</v>
      </c>
      <c r="B46" s="29" t="s">
        <v>866</v>
      </c>
      <c r="C46" s="29" t="s">
        <v>110</v>
      </c>
      <c r="D46" s="29" t="s">
        <v>114</v>
      </c>
      <c r="E46" s="30" t="s">
        <v>77</v>
      </c>
      <c r="F46" s="4" t="s">
        <v>28</v>
      </c>
      <c r="G46" s="29" t="s">
        <v>275</v>
      </c>
      <c r="H46" s="4" t="s">
        <v>107</v>
      </c>
      <c r="I46" t="s">
        <v>150</v>
      </c>
      <c r="J46" s="4" t="s">
        <v>107</v>
      </c>
      <c r="K46" s="9" t="s">
        <v>294</v>
      </c>
      <c r="L46" s="10" t="s">
        <v>107</v>
      </c>
      <c r="M46" s="10" t="s">
        <v>156</v>
      </c>
      <c r="N46" s="9" t="s">
        <v>177</v>
      </c>
      <c r="O46" s="9" t="s">
        <v>107</v>
      </c>
      <c r="P46" s="9" t="s">
        <v>157</v>
      </c>
      <c r="Q46" s="9" t="s">
        <v>283</v>
      </c>
      <c r="R46" s="9" t="s">
        <v>289</v>
      </c>
      <c r="S46" s="9" t="s">
        <v>290</v>
      </c>
      <c r="T46" s="34" t="str">
        <f t="array" ref="T46">INDEX(Gazetteer!$T$3:$T$9941,MATCH(1,(Q46=Gazetteer!$C$3:$C$9941)*(R46=Gazetteer!$D$3:$D$9941)*(S46=Gazetteer!$E$3:$E$9941),0))</f>
        <v>24º31.00′S</v>
      </c>
      <c r="U46" s="34" t="str">
        <f t="array" ref="U46">INDEX(Gazetteer!$U$3:$U$9941,MATCH(1,(Q46=Gazetteer!$C$3:$C$9941)*(R46=Gazetteer!$D$3:$D$9941)*(S46=Gazetteer!$E$3:$E$9941),0))</f>
        <v>048º51.00′W</v>
      </c>
      <c r="V46" s="34">
        <f>INDEX(Ref!C:C,MATCH(W46,Ref!B:B,0))</f>
        <v>2001</v>
      </c>
      <c r="W46" s="39" t="s">
        <v>1188</v>
      </c>
      <c r="X46" s="5">
        <v>641</v>
      </c>
      <c r="Y46" s="11" t="s">
        <v>107</v>
      </c>
      <c r="Z46" s="5" t="s">
        <v>107</v>
      </c>
      <c r="AA46" t="s">
        <v>935</v>
      </c>
    </row>
    <row r="47" spans="1:27" x14ac:dyDescent="0.2">
      <c r="A47" s="5">
        <v>441</v>
      </c>
      <c r="B47" s="29" t="s">
        <v>866</v>
      </c>
      <c r="C47" s="29" t="s">
        <v>110</v>
      </c>
      <c r="D47" s="29" t="s">
        <v>114</v>
      </c>
      <c r="E47" s="30" t="s">
        <v>77</v>
      </c>
      <c r="F47" s="4" t="s">
        <v>28</v>
      </c>
      <c r="G47" s="29" t="s">
        <v>275</v>
      </c>
      <c r="H47" s="4" t="s">
        <v>107</v>
      </c>
      <c r="I47" t="s">
        <v>150</v>
      </c>
      <c r="J47" s="4" t="s">
        <v>107</v>
      </c>
      <c r="K47" s="9" t="s">
        <v>107</v>
      </c>
      <c r="L47" s="10" t="s">
        <v>107</v>
      </c>
      <c r="M47" s="10" t="s">
        <v>130</v>
      </c>
      <c r="N47" s="9" t="s">
        <v>107</v>
      </c>
      <c r="O47" s="9" t="s">
        <v>107</v>
      </c>
      <c r="P47" s="9" t="s">
        <v>107</v>
      </c>
      <c r="Q47" s="9" t="s">
        <v>263</v>
      </c>
      <c r="R47" s="9" t="s">
        <v>107</v>
      </c>
      <c r="S47" s="9" t="s">
        <v>107</v>
      </c>
      <c r="T47" s="34" t="str">
        <f t="array" ref="T47">INDEX(Gazetteer!$T$3:$T$9941,MATCH(1,(Q47=Gazetteer!$C$3:$C$9941)*(R47=Gazetteer!$D$3:$D$9941)*(S47=Gazetteer!$E$3:$E$9941),0))</f>
        <v>23º38.07′N</v>
      </c>
      <c r="U47" s="34" t="str">
        <f t="array" ref="U47">INDEX(Gazetteer!$U$3:$U$9941,MATCH(1,(Q47=Gazetteer!$C$3:$C$9941)*(R47=Gazetteer!$D$3:$D$9941)*(S47=Gazetteer!$E$3:$E$9941),0))</f>
        <v>102º33.17′W</v>
      </c>
      <c r="V47" s="34">
        <f>INDEX(Ref!C:C,MATCH(W47,Ref!B:B,0))</f>
        <v>2017</v>
      </c>
      <c r="W47" s="36" t="s">
        <v>1165</v>
      </c>
      <c r="X47" s="5" t="s">
        <v>957</v>
      </c>
      <c r="Y47" s="11" t="s">
        <v>968</v>
      </c>
      <c r="Z47" s="5" t="s">
        <v>107</v>
      </c>
      <c r="AA47" t="s">
        <v>107</v>
      </c>
    </row>
    <row r="48" spans="1:27" x14ac:dyDescent="0.2">
      <c r="A48" s="5">
        <v>43</v>
      </c>
      <c r="B48" s="29" t="s">
        <v>866</v>
      </c>
      <c r="C48" s="29" t="s">
        <v>110</v>
      </c>
      <c r="D48" s="29" t="s">
        <v>114</v>
      </c>
      <c r="E48" s="30" t="s">
        <v>77</v>
      </c>
      <c r="F48" s="4" t="s">
        <v>28</v>
      </c>
      <c r="G48" s="29" t="s">
        <v>275</v>
      </c>
      <c r="H48" s="4" t="s">
        <v>107</v>
      </c>
      <c r="I48" t="s">
        <v>150</v>
      </c>
      <c r="J48" s="4" t="s">
        <v>107</v>
      </c>
      <c r="K48" s="9" t="s">
        <v>301</v>
      </c>
      <c r="L48" s="10">
        <v>44535</v>
      </c>
      <c r="M48" s="10" t="s">
        <v>130</v>
      </c>
      <c r="N48" s="8" t="s">
        <v>177</v>
      </c>
      <c r="O48" s="8" t="s">
        <v>107</v>
      </c>
      <c r="P48" s="8" t="s">
        <v>157</v>
      </c>
      <c r="Q48" s="9" t="s">
        <v>263</v>
      </c>
      <c r="R48" s="9" t="s">
        <v>265</v>
      </c>
      <c r="S48" s="9" t="s">
        <v>266</v>
      </c>
      <c r="T48" s="34" t="str">
        <f t="array" ref="T48">INDEX(Gazetteer!$T$3:$T$9941,MATCH(1,(Q48=Gazetteer!$C$3:$C$9941)*(R48=Gazetteer!$D$3:$D$9941)*(S48=Gazetteer!$E$3:$E$9941),0))</f>
        <v>17º55.44′N</v>
      </c>
      <c r="U48" s="34" t="str">
        <f t="array" ref="U48">INDEX(Gazetteer!$U$3:$U$9941,MATCH(1,(Q48=Gazetteer!$C$3:$C$9941)*(R48=Gazetteer!$D$3:$D$9941)*(S48=Gazetteer!$E$3:$E$9941),0))</f>
        <v>099º33.79′W</v>
      </c>
      <c r="V48" s="34">
        <f>INDEX(Ref!C:C,MATCH(W48,Ref!B:B,0))</f>
        <v>2010</v>
      </c>
      <c r="W48" s="37" t="s">
        <v>1189</v>
      </c>
      <c r="X48" s="5">
        <v>542</v>
      </c>
      <c r="Y48" s="11" t="s">
        <v>107</v>
      </c>
      <c r="Z48" s="5" t="s">
        <v>107</v>
      </c>
      <c r="AA48" t="s">
        <v>107</v>
      </c>
    </row>
    <row r="49" spans="1:27" x14ac:dyDescent="0.2">
      <c r="A49" s="5">
        <v>44</v>
      </c>
      <c r="B49" s="29" t="s">
        <v>866</v>
      </c>
      <c r="C49" s="29" t="s">
        <v>110</v>
      </c>
      <c r="D49" s="29" t="s">
        <v>114</v>
      </c>
      <c r="E49" s="30" t="s">
        <v>77</v>
      </c>
      <c r="F49" s="4" t="s">
        <v>28</v>
      </c>
      <c r="G49" s="29" t="s">
        <v>275</v>
      </c>
      <c r="H49" s="4" t="s">
        <v>107</v>
      </c>
      <c r="I49" t="s">
        <v>150</v>
      </c>
      <c r="J49" s="4" t="s">
        <v>107</v>
      </c>
      <c r="K49" s="9" t="s">
        <v>107</v>
      </c>
      <c r="L49" s="10" t="s">
        <v>107</v>
      </c>
      <c r="M49" s="10" t="s">
        <v>156</v>
      </c>
      <c r="N49" s="8" t="s">
        <v>189</v>
      </c>
      <c r="O49" s="8" t="s">
        <v>264</v>
      </c>
      <c r="P49" s="8" t="s">
        <v>157</v>
      </c>
      <c r="Q49" s="9" t="s">
        <v>263</v>
      </c>
      <c r="R49" s="9" t="s">
        <v>265</v>
      </c>
      <c r="S49" s="9" t="s">
        <v>266</v>
      </c>
      <c r="T49" s="34" t="str">
        <f t="array" ref="T49">INDEX(Gazetteer!$T$3:$T$9941,MATCH(1,(Q49=Gazetteer!$C$3:$C$9941)*(R49=Gazetteer!$D$3:$D$9941)*(S49=Gazetteer!$E$3:$E$9941),0))</f>
        <v>17º55.44′N</v>
      </c>
      <c r="U49" s="34" t="str">
        <f t="array" ref="U49">INDEX(Gazetteer!$U$3:$U$9941,MATCH(1,(Q49=Gazetteer!$C$3:$C$9941)*(R49=Gazetteer!$D$3:$D$9941)*(S49=Gazetteer!$E$3:$E$9941),0))</f>
        <v>099º33.79′W</v>
      </c>
      <c r="V49" s="34">
        <f>INDEX(Ref!C:C,MATCH(W49,Ref!B:B,0))</f>
        <v>2010</v>
      </c>
      <c r="W49" s="37" t="s">
        <v>1189</v>
      </c>
      <c r="X49" s="5">
        <v>542</v>
      </c>
      <c r="Y49" s="11" t="s">
        <v>107</v>
      </c>
      <c r="Z49" s="5" t="s">
        <v>107</v>
      </c>
      <c r="AA49" t="s">
        <v>107</v>
      </c>
    </row>
    <row r="50" spans="1:27" x14ac:dyDescent="0.2">
      <c r="A50" s="5">
        <v>45</v>
      </c>
      <c r="B50" s="29" t="s">
        <v>866</v>
      </c>
      <c r="C50" s="29" t="s">
        <v>110</v>
      </c>
      <c r="D50" s="29" t="s">
        <v>114</v>
      </c>
      <c r="E50" s="30" t="s">
        <v>77</v>
      </c>
      <c r="F50" s="4" t="s">
        <v>28</v>
      </c>
      <c r="G50" s="29" t="s">
        <v>275</v>
      </c>
      <c r="H50" s="4" t="s">
        <v>107</v>
      </c>
      <c r="I50" t="s">
        <v>150</v>
      </c>
      <c r="J50" s="4" t="s">
        <v>107</v>
      </c>
      <c r="K50" s="9" t="s">
        <v>301</v>
      </c>
      <c r="L50" s="10">
        <v>44536</v>
      </c>
      <c r="M50" s="10" t="s">
        <v>156</v>
      </c>
      <c r="N50" s="8" t="s">
        <v>177</v>
      </c>
      <c r="O50" s="8" t="s">
        <v>107</v>
      </c>
      <c r="P50" s="8" t="s">
        <v>157</v>
      </c>
      <c r="Q50" s="9" t="s">
        <v>263</v>
      </c>
      <c r="R50" s="9" t="s">
        <v>265</v>
      </c>
      <c r="S50" s="9" t="s">
        <v>266</v>
      </c>
      <c r="T50" s="34" t="str">
        <f t="array" ref="T50">INDEX(Gazetteer!$T$3:$T$9941,MATCH(1,(Q50=Gazetteer!$C$3:$C$9941)*(R50=Gazetteer!$D$3:$D$9941)*(S50=Gazetteer!$E$3:$E$9941),0))</f>
        <v>17º55.44′N</v>
      </c>
      <c r="U50" s="34" t="str">
        <f t="array" ref="U50">INDEX(Gazetteer!$U$3:$U$9941,MATCH(1,(Q50=Gazetteer!$C$3:$C$9941)*(R50=Gazetteer!$D$3:$D$9941)*(S50=Gazetteer!$E$3:$E$9941),0))</f>
        <v>099º33.79′W</v>
      </c>
      <c r="V50" s="34">
        <f>INDEX(Ref!C:C,MATCH(W50,Ref!B:B,0))</f>
        <v>2010</v>
      </c>
      <c r="W50" s="37" t="s">
        <v>1189</v>
      </c>
      <c r="X50" s="5">
        <v>543</v>
      </c>
      <c r="Y50" s="11" t="s">
        <v>107</v>
      </c>
      <c r="Z50" s="5" t="s">
        <v>107</v>
      </c>
      <c r="AA50" t="s">
        <v>107</v>
      </c>
    </row>
    <row r="51" spans="1:27" x14ac:dyDescent="0.2">
      <c r="A51" s="5">
        <v>46</v>
      </c>
      <c r="B51" s="29" t="s">
        <v>866</v>
      </c>
      <c r="C51" s="29" t="s">
        <v>110</v>
      </c>
      <c r="D51" s="29" t="s">
        <v>114</v>
      </c>
      <c r="E51" s="30" t="s">
        <v>77</v>
      </c>
      <c r="F51" s="4" t="s">
        <v>28</v>
      </c>
      <c r="G51" s="29" t="s">
        <v>275</v>
      </c>
      <c r="H51" s="4" t="s">
        <v>107</v>
      </c>
      <c r="I51" t="s">
        <v>150</v>
      </c>
      <c r="J51" s="4" t="s">
        <v>107</v>
      </c>
      <c r="K51" s="9" t="s">
        <v>107</v>
      </c>
      <c r="L51" s="10" t="s">
        <v>107</v>
      </c>
      <c r="M51" s="10" t="s">
        <v>156</v>
      </c>
      <c r="N51" s="8" t="s">
        <v>189</v>
      </c>
      <c r="O51" s="8" t="s">
        <v>190</v>
      </c>
      <c r="P51" s="8" t="s">
        <v>157</v>
      </c>
      <c r="Q51" s="9" t="s">
        <v>263</v>
      </c>
      <c r="R51" s="9" t="s">
        <v>265</v>
      </c>
      <c r="S51" s="9" t="s">
        <v>266</v>
      </c>
      <c r="T51" s="34" t="str">
        <f t="array" ref="T51">INDEX(Gazetteer!$T$3:$T$9941,MATCH(1,(Q51=Gazetteer!$C$3:$C$9941)*(R51=Gazetteer!$D$3:$D$9941)*(S51=Gazetteer!$E$3:$E$9941),0))</f>
        <v>17º55.44′N</v>
      </c>
      <c r="U51" s="34" t="str">
        <f t="array" ref="U51">INDEX(Gazetteer!$U$3:$U$9941,MATCH(1,(Q51=Gazetteer!$C$3:$C$9941)*(R51=Gazetteer!$D$3:$D$9941)*(S51=Gazetteer!$E$3:$E$9941),0))</f>
        <v>099º33.79′W</v>
      </c>
      <c r="V51" s="34">
        <f>INDEX(Ref!C:C,MATCH(W51,Ref!B:B,0))</f>
        <v>2010</v>
      </c>
      <c r="W51" s="37" t="s">
        <v>1189</v>
      </c>
      <c r="X51" s="5">
        <v>543</v>
      </c>
      <c r="Y51" s="11" t="s">
        <v>107</v>
      </c>
      <c r="Z51" s="5" t="s">
        <v>107</v>
      </c>
      <c r="AA51" t="s">
        <v>107</v>
      </c>
    </row>
    <row r="52" spans="1:27" x14ac:dyDescent="0.2">
      <c r="A52" s="5">
        <v>36</v>
      </c>
      <c r="B52" s="29" t="s">
        <v>866</v>
      </c>
      <c r="C52" s="29" t="s">
        <v>110</v>
      </c>
      <c r="D52" s="29" t="s">
        <v>114</v>
      </c>
      <c r="E52" s="30" t="s">
        <v>77</v>
      </c>
      <c r="F52" s="4" t="s">
        <v>28</v>
      </c>
      <c r="G52" s="29" t="s">
        <v>275</v>
      </c>
      <c r="H52" s="4" t="s">
        <v>276</v>
      </c>
      <c r="I52" t="s">
        <v>150</v>
      </c>
      <c r="J52" s="4" t="s">
        <v>107</v>
      </c>
      <c r="K52" s="9" t="s">
        <v>107</v>
      </c>
      <c r="L52" s="10" t="s">
        <v>107</v>
      </c>
      <c r="M52" s="10" t="s">
        <v>107</v>
      </c>
      <c r="N52" s="9" t="s">
        <v>107</v>
      </c>
      <c r="O52" s="9" t="s">
        <v>107</v>
      </c>
      <c r="P52" s="9" t="s">
        <v>107</v>
      </c>
      <c r="Q52" s="9" t="s">
        <v>279</v>
      </c>
      <c r="R52" s="9" t="s">
        <v>280</v>
      </c>
      <c r="S52" s="9" t="s">
        <v>280</v>
      </c>
      <c r="T52" s="34" t="str">
        <f t="array" ref="T52">INDEX(Gazetteer!$T$3:$T$9941,MATCH(1,(Q52=Gazetteer!$C$3:$C$9941)*(R52=Gazetteer!$D$3:$D$9941)*(S52=Gazetteer!$E$3:$E$9941),0))</f>
        <v>10º40.00′N</v>
      </c>
      <c r="U52" s="34" t="str">
        <f t="array" ref="U52">INDEX(Gazetteer!$U$3:$U$9941,MATCH(1,(Q52=Gazetteer!$C$3:$C$9941)*(R52=Gazetteer!$D$3:$D$9941)*(S52=Gazetteer!$E$3:$E$9941),0))</f>
        <v>061º31.00′W</v>
      </c>
      <c r="V52" s="34">
        <f>INDEX(Ref!C:C,MATCH(W52,Ref!B:B,0))</f>
        <v>1964</v>
      </c>
      <c r="W52" s="37" t="s">
        <v>1190</v>
      </c>
      <c r="X52" s="5">
        <v>21</v>
      </c>
      <c r="Y52" s="11" t="s">
        <v>107</v>
      </c>
      <c r="Z52" s="5" t="s">
        <v>107</v>
      </c>
      <c r="AA52" t="s">
        <v>107</v>
      </c>
    </row>
    <row r="53" spans="1:27" x14ac:dyDescent="0.2">
      <c r="A53" s="5">
        <v>333</v>
      </c>
      <c r="B53" s="29" t="s">
        <v>866</v>
      </c>
      <c r="C53" s="29" t="s">
        <v>110</v>
      </c>
      <c r="D53" s="29" t="s">
        <v>115</v>
      </c>
      <c r="E53" s="30" t="s">
        <v>867</v>
      </c>
      <c r="F53" s="4" t="s">
        <v>868</v>
      </c>
      <c r="G53" s="29" t="s">
        <v>869</v>
      </c>
      <c r="H53" s="4" t="s">
        <v>107</v>
      </c>
      <c r="I53" t="s">
        <v>150</v>
      </c>
      <c r="J53" s="4" t="s">
        <v>107</v>
      </c>
      <c r="K53" s="9" t="s">
        <v>950</v>
      </c>
      <c r="L53" s="10">
        <v>1006</v>
      </c>
      <c r="M53" s="10" t="s">
        <v>130</v>
      </c>
      <c r="N53" s="9" t="s">
        <v>189</v>
      </c>
      <c r="O53" s="9" t="s">
        <v>107</v>
      </c>
      <c r="P53" s="9" t="s">
        <v>184</v>
      </c>
      <c r="Q53" s="9" t="s">
        <v>283</v>
      </c>
      <c r="R53" s="9" t="s">
        <v>951</v>
      </c>
      <c r="S53" s="9" t="s">
        <v>952</v>
      </c>
      <c r="T53" s="34" t="str">
        <f t="array" ref="T53">INDEX(Gazetteer!$T$3:$T$9941,MATCH(1,(Q53=Gazetteer!$C$3:$C$9941)*(R53=Gazetteer!$D$3:$D$9941)*(S53=Gazetteer!$E$3:$E$9941),0))</f>
        <v>07º45.23′S</v>
      </c>
      <c r="U53" s="34" t="str">
        <f t="array" ref="U53">INDEX(Gazetteer!$U$3:$U$9941,MATCH(1,(Q53=Gazetteer!$C$3:$C$9941)*(R53=Gazetteer!$D$3:$D$9941)*(S53=Gazetteer!$E$3:$E$9941),0))</f>
        <v>047º50.42′W</v>
      </c>
      <c r="V53" s="34">
        <f>INDEX(Ref!C:C,MATCH(W53,Ref!B:B,0))</f>
        <v>2018</v>
      </c>
      <c r="W53" s="36" t="s">
        <v>1191</v>
      </c>
      <c r="X53" s="5">
        <v>78</v>
      </c>
      <c r="Y53" s="11" t="s">
        <v>107</v>
      </c>
      <c r="Z53" s="5" t="s">
        <v>107</v>
      </c>
      <c r="AA53" t="s">
        <v>107</v>
      </c>
    </row>
    <row r="54" spans="1:27" x14ac:dyDescent="0.2">
      <c r="A54" s="5">
        <v>60</v>
      </c>
      <c r="B54" s="29" t="s">
        <v>866</v>
      </c>
      <c r="C54" s="29" t="s">
        <v>110</v>
      </c>
      <c r="D54" s="29" t="s">
        <v>115</v>
      </c>
      <c r="E54" s="30" t="s">
        <v>78</v>
      </c>
      <c r="F54" s="4" t="s">
        <v>29</v>
      </c>
      <c r="G54" s="29" t="s">
        <v>335</v>
      </c>
      <c r="H54" s="4" t="s">
        <v>107</v>
      </c>
      <c r="I54" t="s">
        <v>150</v>
      </c>
      <c r="J54" s="4" t="s">
        <v>107</v>
      </c>
      <c r="K54" s="9" t="s">
        <v>336</v>
      </c>
      <c r="L54" s="10" t="s">
        <v>337</v>
      </c>
      <c r="M54" s="10" t="s">
        <v>130</v>
      </c>
      <c r="N54" s="9" t="s">
        <v>189</v>
      </c>
      <c r="O54" s="9" t="s">
        <v>190</v>
      </c>
      <c r="P54" s="9" t="s">
        <v>107</v>
      </c>
      <c r="Q54" s="9" t="s">
        <v>338</v>
      </c>
      <c r="R54" s="9" t="s">
        <v>339</v>
      </c>
      <c r="S54" s="9" t="s">
        <v>340</v>
      </c>
      <c r="T54" s="34" t="str">
        <f t="array" ref="T54">INDEX(Gazetteer!$T$3:$T$9941,MATCH(1,(Q54=Gazetteer!$C$3:$C$9941)*(R54=Gazetteer!$D$3:$D$9941)*(S54=Gazetteer!$E$3:$E$9941),0))</f>
        <v>01º27.00′S</v>
      </c>
      <c r="U54" s="34" t="str">
        <f t="array" ref="U54">INDEX(Gazetteer!$U$3:$U$9941,MATCH(1,(Q54=Gazetteer!$C$3:$C$9941)*(R54=Gazetteer!$D$3:$D$9941)*(S54=Gazetteer!$E$3:$E$9941),0))</f>
        <v>078º07.00′W</v>
      </c>
      <c r="V54" s="34">
        <f>INDEX(Ref!C:C,MATCH(W54,Ref!B:B,0))</f>
        <v>2014</v>
      </c>
      <c r="W54" s="37" t="s">
        <v>1192</v>
      </c>
      <c r="X54" s="5">
        <v>14</v>
      </c>
      <c r="Y54" s="11" t="s">
        <v>107</v>
      </c>
      <c r="Z54" s="5" t="s">
        <v>107</v>
      </c>
      <c r="AA54" t="s">
        <v>107</v>
      </c>
    </row>
    <row r="55" spans="1:27" x14ac:dyDescent="0.2">
      <c r="A55" s="5">
        <v>389</v>
      </c>
      <c r="B55" s="29" t="s">
        <v>866</v>
      </c>
      <c r="C55" s="29" t="s">
        <v>110</v>
      </c>
      <c r="D55" s="29" t="s">
        <v>116</v>
      </c>
      <c r="E55" s="30" t="s">
        <v>79</v>
      </c>
      <c r="F55" s="4" t="s">
        <v>870</v>
      </c>
      <c r="G55" s="29" t="s">
        <v>841</v>
      </c>
      <c r="H55" s="4" t="s">
        <v>107</v>
      </c>
      <c r="I55" t="s">
        <v>150</v>
      </c>
      <c r="J55" s="4" t="s">
        <v>107</v>
      </c>
      <c r="K55" s="9" t="s">
        <v>107</v>
      </c>
      <c r="L55" s="10" t="s">
        <v>107</v>
      </c>
      <c r="M55" s="10" t="s">
        <v>107</v>
      </c>
      <c r="N55" s="9" t="s">
        <v>107</v>
      </c>
      <c r="O55" s="9" t="s">
        <v>107</v>
      </c>
      <c r="P55" s="9" t="s">
        <v>157</v>
      </c>
      <c r="Q55" s="9" t="s">
        <v>279</v>
      </c>
      <c r="R55" s="9" t="s">
        <v>107</v>
      </c>
      <c r="S55" s="9" t="s">
        <v>107</v>
      </c>
      <c r="T55" s="34" t="str">
        <f t="array" ref="T55">INDEX(Gazetteer!$T$3:$T$9941,MATCH(1,(Q55=Gazetteer!$C$3:$C$9941)*(R55=Gazetteer!$D$3:$D$9941)*(S55=Gazetteer!$E$3:$E$9941),0))</f>
        <v>-</v>
      </c>
      <c r="U55" s="34" t="str">
        <f t="array" ref="U55">INDEX(Gazetteer!$U$3:$U$9941,MATCH(1,(Q55=Gazetteer!$C$3:$C$9941)*(R55=Gazetteer!$D$3:$D$9941)*(S55=Gazetteer!$E$3:$E$9941),0))</f>
        <v>-</v>
      </c>
      <c r="V55" s="34">
        <f>INDEX(Ref!C:C,MATCH(W55,Ref!B:B,0))</f>
        <v>2017</v>
      </c>
      <c r="W55" s="36" t="s">
        <v>1165</v>
      </c>
      <c r="X55" s="5" t="s">
        <v>957</v>
      </c>
      <c r="Y55" s="11" t="s">
        <v>965</v>
      </c>
      <c r="Z55" s="5" t="s">
        <v>107</v>
      </c>
      <c r="AA55" t="s">
        <v>107</v>
      </c>
    </row>
    <row r="56" spans="1:27" x14ac:dyDescent="0.2">
      <c r="A56" s="5">
        <v>390</v>
      </c>
      <c r="B56" s="29" t="s">
        <v>866</v>
      </c>
      <c r="C56" s="29" t="s">
        <v>110</v>
      </c>
      <c r="D56" s="29" t="s">
        <v>116</v>
      </c>
      <c r="E56" s="30" t="s">
        <v>79</v>
      </c>
      <c r="F56" s="4" t="s">
        <v>870</v>
      </c>
      <c r="G56" s="29" t="s">
        <v>841</v>
      </c>
      <c r="H56" s="4" t="s">
        <v>107</v>
      </c>
      <c r="I56" t="s">
        <v>150</v>
      </c>
      <c r="J56" s="4" t="s">
        <v>107</v>
      </c>
      <c r="K56" s="9" t="s">
        <v>107</v>
      </c>
      <c r="L56" s="10" t="s">
        <v>107</v>
      </c>
      <c r="M56" s="10" t="s">
        <v>130</v>
      </c>
      <c r="N56" s="9" t="s">
        <v>107</v>
      </c>
      <c r="O56" s="9" t="s">
        <v>107</v>
      </c>
      <c r="P56" s="9" t="s">
        <v>157</v>
      </c>
      <c r="Q56" s="9" t="s">
        <v>279</v>
      </c>
      <c r="R56" s="9" t="s">
        <v>107</v>
      </c>
      <c r="S56" s="9" t="s">
        <v>107</v>
      </c>
      <c r="T56" s="34" t="str">
        <f t="array" ref="T56">INDEX(Gazetteer!$T$3:$T$9941,MATCH(1,(Q56=Gazetteer!$C$3:$C$9941)*(R56=Gazetteer!$D$3:$D$9941)*(S56=Gazetteer!$E$3:$E$9941),0))</f>
        <v>-</v>
      </c>
      <c r="U56" s="34" t="str">
        <f t="array" ref="U56">INDEX(Gazetteer!$U$3:$U$9941,MATCH(1,(Q56=Gazetteer!$C$3:$C$9941)*(R56=Gazetteer!$D$3:$D$9941)*(S56=Gazetteer!$E$3:$E$9941),0))</f>
        <v>-</v>
      </c>
      <c r="V56" s="34">
        <f>INDEX(Ref!C:C,MATCH(W56,Ref!B:B,0))</f>
        <v>2017</v>
      </c>
      <c r="W56" s="36" t="s">
        <v>1165</v>
      </c>
      <c r="X56" s="5" t="s">
        <v>957</v>
      </c>
      <c r="Y56" s="11" t="s">
        <v>966</v>
      </c>
      <c r="Z56" s="5" t="s">
        <v>107</v>
      </c>
      <c r="AA56" t="s">
        <v>107</v>
      </c>
    </row>
    <row r="57" spans="1:27" x14ac:dyDescent="0.2">
      <c r="A57" s="5">
        <v>391</v>
      </c>
      <c r="B57" s="29" t="s">
        <v>866</v>
      </c>
      <c r="C57" s="29" t="s">
        <v>110</v>
      </c>
      <c r="D57" s="29" t="s">
        <v>116</v>
      </c>
      <c r="E57" s="30" t="s">
        <v>79</v>
      </c>
      <c r="F57" s="4" t="s">
        <v>870</v>
      </c>
      <c r="G57" s="29" t="s">
        <v>841</v>
      </c>
      <c r="H57" s="4" t="s">
        <v>107</v>
      </c>
      <c r="I57" t="s">
        <v>150</v>
      </c>
      <c r="J57" s="4" t="s">
        <v>107</v>
      </c>
      <c r="K57" s="9" t="s">
        <v>107</v>
      </c>
      <c r="L57" s="10" t="s">
        <v>107</v>
      </c>
      <c r="M57" s="10" t="s">
        <v>107</v>
      </c>
      <c r="N57" s="9" t="s">
        <v>107</v>
      </c>
      <c r="O57" s="9" t="s">
        <v>107</v>
      </c>
      <c r="P57" s="9" t="s">
        <v>157</v>
      </c>
      <c r="Q57" s="9" t="s">
        <v>279</v>
      </c>
      <c r="R57" s="9" t="s">
        <v>107</v>
      </c>
      <c r="S57" s="9" t="s">
        <v>107</v>
      </c>
      <c r="T57" s="34" t="str">
        <f t="array" ref="T57">INDEX(Gazetteer!$T$3:$T$9941,MATCH(1,(Q57=Gazetteer!$C$3:$C$9941)*(R57=Gazetteer!$D$3:$D$9941)*(S57=Gazetteer!$E$3:$E$9941),0))</f>
        <v>-</v>
      </c>
      <c r="U57" s="34" t="str">
        <f t="array" ref="U57">INDEX(Gazetteer!$U$3:$U$9941,MATCH(1,(Q57=Gazetteer!$C$3:$C$9941)*(R57=Gazetteer!$D$3:$D$9941)*(S57=Gazetteer!$E$3:$E$9941),0))</f>
        <v>-</v>
      </c>
      <c r="V57" s="34">
        <f>INDEX(Ref!C:C,MATCH(W57,Ref!B:B,0))</f>
        <v>2017</v>
      </c>
      <c r="W57" s="36" t="s">
        <v>1165</v>
      </c>
      <c r="X57" s="5" t="s">
        <v>957</v>
      </c>
      <c r="Y57" s="11" t="s">
        <v>967</v>
      </c>
      <c r="Z57" s="5" t="s">
        <v>107</v>
      </c>
      <c r="AA57" t="s">
        <v>107</v>
      </c>
    </row>
    <row r="58" spans="1:27" x14ac:dyDescent="0.2">
      <c r="A58" s="5">
        <v>63</v>
      </c>
      <c r="B58" s="29" t="s">
        <v>866</v>
      </c>
      <c r="C58" s="29" t="s">
        <v>110</v>
      </c>
      <c r="D58" s="29" t="s">
        <v>116</v>
      </c>
      <c r="E58" s="30" t="s">
        <v>80</v>
      </c>
      <c r="F58" s="4" t="s">
        <v>30</v>
      </c>
      <c r="G58" s="29" t="s">
        <v>270</v>
      </c>
      <c r="H58" s="4" t="s">
        <v>107</v>
      </c>
      <c r="I58" t="s">
        <v>150</v>
      </c>
      <c r="J58" s="4" t="s">
        <v>107</v>
      </c>
      <c r="K58" s="9" t="s">
        <v>352</v>
      </c>
      <c r="L58" s="10">
        <v>283877</v>
      </c>
      <c r="M58" s="10" t="s">
        <v>156</v>
      </c>
      <c r="N58" s="9" t="s">
        <v>107</v>
      </c>
      <c r="O58" s="9" t="s">
        <v>107</v>
      </c>
      <c r="P58" s="9" t="s">
        <v>178</v>
      </c>
      <c r="Q58" s="9" t="s">
        <v>311</v>
      </c>
      <c r="R58" s="9" t="s">
        <v>353</v>
      </c>
      <c r="S58" s="9" t="s">
        <v>354</v>
      </c>
      <c r="T58" s="34" t="str">
        <f t="array" ref="T58">INDEX(Gazetteer!$T$3:$T$9941,MATCH(1,(Q58=Gazetteer!$C$3:$C$9941)*(R58=Gazetteer!$D$3:$D$9941)*(S58=Gazetteer!$E$3:$E$9941),0))</f>
        <v>09º17.87′N</v>
      </c>
      <c r="U58" s="34" t="str">
        <f t="array" ref="U58">INDEX(Gazetteer!$U$3:$U$9941,MATCH(1,(Q58=Gazetteer!$C$3:$C$9941)*(R58=Gazetteer!$D$3:$D$9941)*(S58=Gazetteer!$E$3:$E$9941),0))</f>
        <v>064º20.93′W</v>
      </c>
      <c r="V58" s="34">
        <f>INDEX(Ref!C:C,MATCH(W58,Ref!B:B,0))</f>
        <v>1950</v>
      </c>
      <c r="W58" s="37" t="s">
        <v>1193</v>
      </c>
      <c r="X58" s="5">
        <v>350</v>
      </c>
      <c r="Y58" s="11" t="s">
        <v>107</v>
      </c>
      <c r="Z58" s="5" t="s">
        <v>107</v>
      </c>
      <c r="AA58" t="s">
        <v>107</v>
      </c>
    </row>
    <row r="59" spans="1:27" x14ac:dyDescent="0.2">
      <c r="A59" s="5">
        <v>64</v>
      </c>
      <c r="B59" s="29" t="s">
        <v>866</v>
      </c>
      <c r="C59" s="29" t="s">
        <v>110</v>
      </c>
      <c r="D59" s="29" t="s">
        <v>116</v>
      </c>
      <c r="E59" s="30" t="s">
        <v>80</v>
      </c>
      <c r="F59" s="4" t="s">
        <v>31</v>
      </c>
      <c r="G59" s="29" t="s">
        <v>355</v>
      </c>
      <c r="H59" s="4" t="s">
        <v>107</v>
      </c>
      <c r="I59" t="s">
        <v>150</v>
      </c>
      <c r="J59" s="4" t="s">
        <v>107</v>
      </c>
      <c r="K59" s="9" t="s">
        <v>107</v>
      </c>
      <c r="L59" s="10" t="s">
        <v>107</v>
      </c>
      <c r="M59" s="10" t="s">
        <v>156</v>
      </c>
      <c r="N59" s="9" t="s">
        <v>107</v>
      </c>
      <c r="O59" s="9" t="s">
        <v>107</v>
      </c>
      <c r="P59" s="9" t="s">
        <v>107</v>
      </c>
      <c r="Q59" s="9" t="s">
        <v>107</v>
      </c>
      <c r="R59" s="9" t="s">
        <v>107</v>
      </c>
      <c r="S59" s="9" t="s">
        <v>107</v>
      </c>
      <c r="T59" s="34" t="str">
        <f t="array" ref="T59">INDEX(Gazetteer!$T$3:$T$9941,MATCH(1,(Q59=Gazetteer!$C$3:$C$9941)*(R59=Gazetteer!$D$3:$D$9941)*(S59=Gazetteer!$E$3:$E$9941),0))</f>
        <v>-</v>
      </c>
      <c r="U59" s="34" t="str">
        <f t="array" ref="U59">INDEX(Gazetteer!$U$3:$U$9941,MATCH(1,(Q59=Gazetteer!$C$3:$C$9941)*(R59=Gazetteer!$D$3:$D$9941)*(S59=Gazetteer!$E$3:$E$9941),0))</f>
        <v>-</v>
      </c>
      <c r="V59" s="34">
        <f>INDEX(Ref!C:C,MATCH(W59,Ref!B:B,0))</f>
        <v>1925</v>
      </c>
      <c r="W59" s="37" t="s">
        <v>1194</v>
      </c>
      <c r="X59" s="5">
        <v>85</v>
      </c>
      <c r="Y59" s="11" t="s">
        <v>107</v>
      </c>
      <c r="Z59" s="5" t="s">
        <v>107</v>
      </c>
      <c r="AA59" t="s">
        <v>107</v>
      </c>
    </row>
    <row r="60" spans="1:27" x14ac:dyDescent="0.2">
      <c r="A60" s="5">
        <v>65</v>
      </c>
      <c r="B60" s="29" t="s">
        <v>866</v>
      </c>
      <c r="C60" s="29" t="s">
        <v>110</v>
      </c>
      <c r="D60" s="29" t="s">
        <v>116</v>
      </c>
      <c r="E60" s="30" t="s">
        <v>80</v>
      </c>
      <c r="F60" s="4" t="s">
        <v>31</v>
      </c>
      <c r="G60" s="29" t="s">
        <v>355</v>
      </c>
      <c r="H60" s="4" t="s">
        <v>358</v>
      </c>
      <c r="I60" t="s">
        <v>150</v>
      </c>
      <c r="J60" s="4" t="s">
        <v>107</v>
      </c>
      <c r="K60" s="9" t="s">
        <v>359</v>
      </c>
      <c r="L60" s="10">
        <v>207064</v>
      </c>
      <c r="M60" s="10" t="s">
        <v>156</v>
      </c>
      <c r="N60" s="9" t="s">
        <v>107</v>
      </c>
      <c r="O60" s="9" t="s">
        <v>107</v>
      </c>
      <c r="P60" s="9" t="s">
        <v>107</v>
      </c>
      <c r="Q60" s="9" t="s">
        <v>279</v>
      </c>
      <c r="R60" s="9" t="s">
        <v>360</v>
      </c>
      <c r="S60" s="9" t="s">
        <v>361</v>
      </c>
      <c r="T60" s="34" t="str">
        <f t="array" ref="T60">INDEX(Gazetteer!$T$3:$T$9941,MATCH(1,(Q60=Gazetteer!$C$3:$C$9941)*(R60=Gazetteer!$D$3:$D$9941)*(S60=Gazetteer!$E$3:$E$9941),0))</f>
        <v>10º21.00′N</v>
      </c>
      <c r="U60" s="34" t="str">
        <f t="array" ref="U60">INDEX(Gazetteer!$U$3:$U$9941,MATCH(1,(Q60=Gazetteer!$C$3:$C$9941)*(R60=Gazetteer!$D$3:$D$9941)*(S60=Gazetteer!$E$3:$E$9941),0))</f>
        <v>061º11.00′W</v>
      </c>
      <c r="V60" s="34">
        <f>INDEX(Ref!C:C,MATCH(W60,Ref!B:B,0))</f>
        <v>1964</v>
      </c>
      <c r="W60" s="39" t="s">
        <v>1190</v>
      </c>
      <c r="X60" s="5">
        <v>20</v>
      </c>
      <c r="Y60" s="11" t="s">
        <v>107</v>
      </c>
      <c r="Z60" s="5" t="s">
        <v>107</v>
      </c>
      <c r="AA60" t="s">
        <v>107</v>
      </c>
    </row>
    <row r="61" spans="1:27" x14ac:dyDescent="0.2">
      <c r="A61" s="5">
        <v>77</v>
      </c>
      <c r="B61" s="29" t="s">
        <v>866</v>
      </c>
      <c r="C61" s="29" t="s">
        <v>110</v>
      </c>
      <c r="D61" s="29" t="s">
        <v>112</v>
      </c>
      <c r="E61" s="30" t="s">
        <v>81</v>
      </c>
      <c r="F61" s="4" t="s">
        <v>32</v>
      </c>
      <c r="G61" s="29" t="s">
        <v>335</v>
      </c>
      <c r="H61" s="4" t="s">
        <v>107</v>
      </c>
      <c r="I61" t="s">
        <v>150</v>
      </c>
      <c r="J61" s="4" t="s">
        <v>107</v>
      </c>
      <c r="K61" s="9" t="s">
        <v>386</v>
      </c>
      <c r="L61" s="10" t="s">
        <v>107</v>
      </c>
      <c r="M61" s="10" t="s">
        <v>156</v>
      </c>
      <c r="N61" s="9" t="s">
        <v>189</v>
      </c>
      <c r="O61" s="9" t="s">
        <v>190</v>
      </c>
      <c r="P61" s="9" t="s">
        <v>184</v>
      </c>
      <c r="Q61" s="9" t="s">
        <v>283</v>
      </c>
      <c r="R61" s="9" t="s">
        <v>387</v>
      </c>
      <c r="S61" s="9" t="s">
        <v>388</v>
      </c>
      <c r="T61" s="34" t="str">
        <f t="array" ref="T61">INDEX(Gazetteer!$T$3:$T$9941,MATCH(1,(Q61=Gazetteer!$C$3:$C$9941)*(R61=Gazetteer!$D$3:$D$9941)*(S61=Gazetteer!$E$3:$E$9941),0))</f>
        <v>13º46.00′S</v>
      </c>
      <c r="U61" s="34" t="str">
        <f t="array" ref="U61">INDEX(Gazetteer!$U$3:$U$9941,MATCH(1,(Q61=Gazetteer!$C$3:$C$9941)*(R61=Gazetteer!$D$3:$D$9941)*(S61=Gazetteer!$E$3:$E$9941),0))</f>
        <v>042º42.00′W</v>
      </c>
      <c r="V61" s="34">
        <f>INDEX(Ref!C:C,MATCH(W61,Ref!B:B,0))</f>
        <v>2014</v>
      </c>
      <c r="W61" s="37" t="s">
        <v>1195</v>
      </c>
      <c r="X61" s="5">
        <v>1235</v>
      </c>
      <c r="Y61" s="11" t="s">
        <v>107</v>
      </c>
      <c r="Z61" s="5" t="s">
        <v>107</v>
      </c>
      <c r="AA61" t="s">
        <v>107</v>
      </c>
    </row>
    <row r="62" spans="1:27" x14ac:dyDescent="0.2">
      <c r="A62" s="5">
        <v>241</v>
      </c>
      <c r="B62" s="29" t="s">
        <v>866</v>
      </c>
      <c r="C62" s="29" t="s">
        <v>110</v>
      </c>
      <c r="D62" s="29" t="s">
        <v>112</v>
      </c>
      <c r="E62" s="30" t="s">
        <v>81</v>
      </c>
      <c r="F62" s="4" t="s">
        <v>32</v>
      </c>
      <c r="G62" s="29" t="s">
        <v>335</v>
      </c>
      <c r="H62" s="4" t="s">
        <v>107</v>
      </c>
      <c r="I62" t="s">
        <v>150</v>
      </c>
      <c r="J62" s="4" t="s">
        <v>107</v>
      </c>
      <c r="K62" s="9" t="s">
        <v>760</v>
      </c>
      <c r="L62" s="10">
        <v>35367</v>
      </c>
      <c r="M62" s="10" t="s">
        <v>130</v>
      </c>
      <c r="N62" s="9" t="s">
        <v>177</v>
      </c>
      <c r="O62" s="9" t="s">
        <v>107</v>
      </c>
      <c r="P62" s="9" t="s">
        <v>157</v>
      </c>
      <c r="Q62" s="9" t="s">
        <v>283</v>
      </c>
      <c r="R62" s="9" t="s">
        <v>758</v>
      </c>
      <c r="S62" s="9" t="s">
        <v>759</v>
      </c>
      <c r="T62" s="34" t="str">
        <f t="array" ref="T62">INDEX(Gazetteer!$T$3:$T$9941,MATCH(1,(Q62=Gazetteer!$C$3:$C$9941)*(R62=Gazetteer!$D$3:$D$9941)*(S62=Gazetteer!$E$3:$E$9941),0))</f>
        <v>09º22.58′S</v>
      </c>
      <c r="U62" s="34" t="str">
        <f t="array" ref="U62">INDEX(Gazetteer!$U$3:$U$9941,MATCH(1,(Q62=Gazetteer!$C$3:$C$9941)*(R62=Gazetteer!$D$3:$D$9941)*(S62=Gazetteer!$E$3:$E$9941),0))</f>
        <v>064º40.62′W</v>
      </c>
      <c r="V62" s="34">
        <f>INDEX(Ref!C:C,MATCH(W62,Ref!B:B,0))</f>
        <v>2017</v>
      </c>
      <c r="W62" s="38" t="s">
        <v>1196</v>
      </c>
      <c r="X62" s="5">
        <v>74</v>
      </c>
      <c r="Y62" s="11" t="s">
        <v>107</v>
      </c>
      <c r="Z62" s="5" t="s">
        <v>107</v>
      </c>
      <c r="AA62" t="s">
        <v>107</v>
      </c>
    </row>
    <row r="63" spans="1:27" x14ac:dyDescent="0.2">
      <c r="A63" s="5">
        <v>214</v>
      </c>
      <c r="B63" s="29" t="s">
        <v>866</v>
      </c>
      <c r="C63" s="29" t="s">
        <v>110</v>
      </c>
      <c r="D63" s="29" t="s">
        <v>112</v>
      </c>
      <c r="E63" s="30" t="s">
        <v>81</v>
      </c>
      <c r="F63" s="4" t="s">
        <v>32</v>
      </c>
      <c r="G63" s="29" t="s">
        <v>335</v>
      </c>
      <c r="H63" s="4" t="s">
        <v>107</v>
      </c>
      <c r="I63" t="s">
        <v>150</v>
      </c>
      <c r="J63" s="4" t="s">
        <v>107</v>
      </c>
      <c r="K63" s="9" t="s">
        <v>107</v>
      </c>
      <c r="L63" s="10" t="s">
        <v>107</v>
      </c>
      <c r="M63" s="10" t="s">
        <v>107</v>
      </c>
      <c r="N63" s="9" t="s">
        <v>189</v>
      </c>
      <c r="O63" s="9" t="s">
        <v>107</v>
      </c>
      <c r="P63" s="9" t="s">
        <v>178</v>
      </c>
      <c r="Q63" s="9" t="s">
        <v>317</v>
      </c>
      <c r="R63" s="9" t="s">
        <v>711</v>
      </c>
      <c r="S63" s="9" t="s">
        <v>712</v>
      </c>
      <c r="T63" s="34" t="str">
        <f t="array" ref="T63">INDEX(Gazetteer!$T$3:$T$9941,MATCH(1,(Q63=Gazetteer!$C$3:$C$9941)*(R63=Gazetteer!$D$3:$D$9941)*(S63=Gazetteer!$E$3:$E$9941),0))</f>
        <v>04º36.19′N</v>
      </c>
      <c r="U63" s="34" t="str">
        <f t="array" ref="U63">INDEX(Gazetteer!$U$3:$U$9941,MATCH(1,(Q63=Gazetteer!$C$3:$C$9941)*(R63=Gazetteer!$D$3:$D$9941)*(S63=Gazetteer!$E$3:$E$9941),0))</f>
        <v>072º55.73′W</v>
      </c>
      <c r="V63" s="34">
        <f>INDEX(Ref!C:C,MATCH(W63,Ref!B:B,0))</f>
        <v>2018</v>
      </c>
      <c r="W63" s="36" t="s">
        <v>1197</v>
      </c>
      <c r="X63" s="5">
        <v>1</v>
      </c>
      <c r="Y63" s="11" t="s">
        <v>107</v>
      </c>
      <c r="Z63" s="5" t="s">
        <v>107</v>
      </c>
      <c r="AA63" t="s">
        <v>107</v>
      </c>
    </row>
    <row r="64" spans="1:27" x14ac:dyDescent="0.2">
      <c r="A64" s="5">
        <v>459</v>
      </c>
      <c r="B64" s="29" t="s">
        <v>866</v>
      </c>
      <c r="C64" s="29" t="s">
        <v>110</v>
      </c>
      <c r="D64" s="29" t="s">
        <v>127</v>
      </c>
      <c r="E64" s="30" t="s">
        <v>100</v>
      </c>
      <c r="F64" s="4" t="s">
        <v>65</v>
      </c>
      <c r="G64" s="29" t="s">
        <v>393</v>
      </c>
      <c r="H64" s="4" t="s">
        <v>107</v>
      </c>
      <c r="I64" t="s">
        <v>150</v>
      </c>
      <c r="J64" s="4" t="s">
        <v>107</v>
      </c>
      <c r="K64" s="9" t="s">
        <v>107</v>
      </c>
      <c r="L64" s="10" t="s">
        <v>107</v>
      </c>
      <c r="M64" s="10" t="s">
        <v>107</v>
      </c>
      <c r="N64" s="9" t="s">
        <v>107</v>
      </c>
      <c r="O64" s="9" t="s">
        <v>107</v>
      </c>
      <c r="P64" s="9" t="s">
        <v>184</v>
      </c>
      <c r="Q64" s="9" t="s">
        <v>396</v>
      </c>
      <c r="R64" s="9" t="s">
        <v>107</v>
      </c>
      <c r="S64" s="9" t="s">
        <v>107</v>
      </c>
      <c r="T64" s="34" t="str">
        <f t="array" ref="T64">INDEX(Gazetteer!$T$3:$T$9941,MATCH(1,(Q64=Gazetteer!$C$3:$C$9941)*(R64=Gazetteer!$D$3:$D$9941)*(S64=Gazetteer!$E$3:$E$9941),0))</f>
        <v>-</v>
      </c>
      <c r="U64" s="34" t="str">
        <f t="array" ref="U64">INDEX(Gazetteer!$U$3:$U$9941,MATCH(1,(Q64=Gazetteer!$C$3:$C$9941)*(R64=Gazetteer!$D$3:$D$9941)*(S64=Gazetteer!$E$3:$E$9941),0))</f>
        <v>-</v>
      </c>
      <c r="V64" s="34">
        <f>INDEX(Ref!C:C,MATCH(W64,Ref!B:B,0))</f>
        <v>2017</v>
      </c>
      <c r="W64" s="36" t="s">
        <v>1165</v>
      </c>
      <c r="X64" s="5" t="s">
        <v>957</v>
      </c>
      <c r="Y64" s="11" t="s">
        <v>394</v>
      </c>
      <c r="Z64" s="5" t="s">
        <v>107</v>
      </c>
      <c r="AA64" t="s">
        <v>107</v>
      </c>
    </row>
    <row r="65" spans="1:27" x14ac:dyDescent="0.2">
      <c r="A65" s="5">
        <v>398</v>
      </c>
      <c r="B65" s="29" t="s">
        <v>866</v>
      </c>
      <c r="C65" s="29" t="s">
        <v>110</v>
      </c>
      <c r="D65" s="29" t="s">
        <v>117</v>
      </c>
      <c r="E65" s="30" t="s">
        <v>82</v>
      </c>
      <c r="F65" s="4" t="s">
        <v>33</v>
      </c>
      <c r="G65" s="29" t="s">
        <v>689</v>
      </c>
      <c r="H65" s="4" t="s">
        <v>107</v>
      </c>
      <c r="I65" t="s">
        <v>150</v>
      </c>
      <c r="J65" s="4" t="s">
        <v>107</v>
      </c>
      <c r="K65" s="9" t="s">
        <v>107</v>
      </c>
      <c r="L65" s="10" t="s">
        <v>107</v>
      </c>
      <c r="M65" s="10" t="s">
        <v>107</v>
      </c>
      <c r="N65" s="9" t="s">
        <v>107</v>
      </c>
      <c r="O65" s="9" t="s">
        <v>107</v>
      </c>
      <c r="P65" s="9" t="s">
        <v>107</v>
      </c>
      <c r="Q65" s="9" t="s">
        <v>489</v>
      </c>
      <c r="R65" s="9" t="s">
        <v>107</v>
      </c>
      <c r="S65" s="9" t="s">
        <v>107</v>
      </c>
      <c r="T65" s="34" t="str">
        <f t="array" ref="T65">INDEX(Gazetteer!$T$3:$T$9941,MATCH(1,(Q65=Gazetteer!$C$3:$C$9941)*(R65=Gazetteer!$D$3:$D$9941)*(S65=Gazetteer!$E$3:$E$9941),0))</f>
        <v>-</v>
      </c>
      <c r="U65" s="34" t="str">
        <f t="array" ref="U65">INDEX(Gazetteer!$U$3:$U$9941,MATCH(1,(Q65=Gazetteer!$C$3:$C$9941)*(R65=Gazetteer!$D$3:$D$9941)*(S65=Gazetteer!$E$3:$E$9941),0))</f>
        <v>-</v>
      </c>
      <c r="V65" s="34">
        <f>INDEX(Ref!C:C,MATCH(W65,Ref!B:B,0))</f>
        <v>2017</v>
      </c>
      <c r="W65" s="36" t="s">
        <v>1165</v>
      </c>
      <c r="X65" s="5" t="s">
        <v>957</v>
      </c>
      <c r="Y65" s="11" t="s">
        <v>960</v>
      </c>
      <c r="Z65" s="5" t="s">
        <v>107</v>
      </c>
      <c r="AA65" t="s">
        <v>107</v>
      </c>
    </row>
    <row r="66" spans="1:27" x14ac:dyDescent="0.2">
      <c r="A66" s="5">
        <v>400</v>
      </c>
      <c r="B66" s="29" t="s">
        <v>866</v>
      </c>
      <c r="C66" s="29" t="s">
        <v>110</v>
      </c>
      <c r="D66" s="29" t="s">
        <v>117</v>
      </c>
      <c r="E66" s="30" t="s">
        <v>82</v>
      </c>
      <c r="F66" s="4" t="s">
        <v>33</v>
      </c>
      <c r="G66" s="29" t="s">
        <v>689</v>
      </c>
      <c r="H66" s="4" t="s">
        <v>107</v>
      </c>
      <c r="I66" t="s">
        <v>150</v>
      </c>
      <c r="J66" s="4" t="s">
        <v>107</v>
      </c>
      <c r="K66" s="9" t="s">
        <v>107</v>
      </c>
      <c r="L66" s="10" t="s">
        <v>107</v>
      </c>
      <c r="M66" s="10" t="s">
        <v>156</v>
      </c>
      <c r="N66" s="9" t="s">
        <v>107</v>
      </c>
      <c r="O66" s="9" t="s">
        <v>107</v>
      </c>
      <c r="P66" s="9" t="s">
        <v>157</v>
      </c>
      <c r="Q66" s="9" t="s">
        <v>489</v>
      </c>
      <c r="R66" s="9" t="s">
        <v>107</v>
      </c>
      <c r="S66" s="9" t="s">
        <v>107</v>
      </c>
      <c r="T66" s="34" t="str">
        <f t="array" ref="T66">INDEX(Gazetteer!$T$3:$T$9941,MATCH(1,(Q66=Gazetteer!$C$3:$C$9941)*(R66=Gazetteer!$D$3:$D$9941)*(S66=Gazetteer!$E$3:$E$9941),0))</f>
        <v>-</v>
      </c>
      <c r="U66" s="34" t="str">
        <f t="array" ref="U66">INDEX(Gazetteer!$U$3:$U$9941,MATCH(1,(Q66=Gazetteer!$C$3:$C$9941)*(R66=Gazetteer!$D$3:$D$9941)*(S66=Gazetteer!$E$3:$E$9941),0))</f>
        <v>-</v>
      </c>
      <c r="V66" s="34">
        <f>INDEX(Ref!C:C,MATCH(W66,Ref!B:B,0))</f>
        <v>2017</v>
      </c>
      <c r="W66" s="36" t="s">
        <v>1165</v>
      </c>
      <c r="X66" s="5" t="s">
        <v>957</v>
      </c>
      <c r="Y66" s="11" t="s">
        <v>107</v>
      </c>
      <c r="Z66" s="5" t="s">
        <v>107</v>
      </c>
      <c r="AA66" t="s">
        <v>107</v>
      </c>
    </row>
    <row r="67" spans="1:27" x14ac:dyDescent="0.2">
      <c r="A67" s="5">
        <v>157</v>
      </c>
      <c r="B67" s="29" t="s">
        <v>866</v>
      </c>
      <c r="C67" s="29" t="s">
        <v>110</v>
      </c>
      <c r="D67" s="29" t="s">
        <v>117</v>
      </c>
      <c r="E67" s="30" t="s">
        <v>82</v>
      </c>
      <c r="F67" s="4" t="s">
        <v>34</v>
      </c>
      <c r="G67" s="29" t="s">
        <v>690</v>
      </c>
      <c r="H67" s="4" t="s">
        <v>582</v>
      </c>
      <c r="I67" t="s">
        <v>150</v>
      </c>
      <c r="J67" s="4" t="s">
        <v>107</v>
      </c>
      <c r="K67" s="9" t="s">
        <v>583</v>
      </c>
      <c r="L67" s="10" t="s">
        <v>584</v>
      </c>
      <c r="M67" s="10" t="s">
        <v>156</v>
      </c>
      <c r="N67" s="9" t="s">
        <v>189</v>
      </c>
      <c r="O67" s="9" t="s">
        <v>264</v>
      </c>
      <c r="P67" s="9" t="s">
        <v>184</v>
      </c>
      <c r="Q67" s="9" t="s">
        <v>263</v>
      </c>
      <c r="R67" s="9" t="s">
        <v>585</v>
      </c>
      <c r="S67" s="9" t="s">
        <v>586</v>
      </c>
      <c r="T67" s="34" t="str">
        <f t="array" ref="T67">INDEX(Gazetteer!$T$3:$T$9941,MATCH(1,(Q67=Gazetteer!$C$3:$C$9941)*(R67=Gazetteer!$D$3:$D$9941)*(S67=Gazetteer!$E$3:$E$9941),0))</f>
        <v>19º59.52′N</v>
      </c>
      <c r="U67" s="34" t="str">
        <f t="array" ref="U67">INDEX(Gazetteer!$U$3:$U$9941,MATCH(1,(Q67=Gazetteer!$C$3:$C$9941)*(R67=Gazetteer!$D$3:$D$9941)*(S67=Gazetteer!$E$3:$E$9941),0))</f>
        <v>087º28.27′W</v>
      </c>
      <c r="V67" s="34">
        <f>INDEX(Ref!C:C,MATCH(W67,Ref!B:B,0))</f>
        <v>1998</v>
      </c>
      <c r="W67" s="37" t="s">
        <v>1198</v>
      </c>
      <c r="X67" s="5">
        <v>27</v>
      </c>
      <c r="Y67" s="11" t="s">
        <v>107</v>
      </c>
      <c r="Z67" s="5" t="s">
        <v>107</v>
      </c>
      <c r="AA67" t="s">
        <v>107</v>
      </c>
    </row>
    <row r="68" spans="1:27" x14ac:dyDescent="0.2">
      <c r="A68" s="5">
        <v>275</v>
      </c>
      <c r="B68" s="29" t="s">
        <v>866</v>
      </c>
      <c r="C68" s="29" t="s">
        <v>110</v>
      </c>
      <c r="D68" s="29" t="s">
        <v>117</v>
      </c>
      <c r="E68" s="30" t="s">
        <v>82</v>
      </c>
      <c r="F68" s="4" t="s">
        <v>851</v>
      </c>
      <c r="G68" s="29" t="s">
        <v>367</v>
      </c>
      <c r="H68" s="4" t="s">
        <v>107</v>
      </c>
      <c r="I68" t="s">
        <v>150</v>
      </c>
      <c r="J68" s="4" t="s">
        <v>107</v>
      </c>
      <c r="K68" s="9" t="s">
        <v>107</v>
      </c>
      <c r="L68" s="10" t="s">
        <v>107</v>
      </c>
      <c r="M68" s="10" t="s">
        <v>130</v>
      </c>
      <c r="N68" s="9" t="s">
        <v>189</v>
      </c>
      <c r="O68" s="8" t="s">
        <v>389</v>
      </c>
      <c r="P68" s="9" t="s">
        <v>184</v>
      </c>
      <c r="Q68" s="8" t="s">
        <v>283</v>
      </c>
      <c r="R68" t="s">
        <v>332</v>
      </c>
      <c r="S68" t="s">
        <v>850</v>
      </c>
      <c r="T68" s="34" t="str">
        <f t="array" ref="T68">INDEX(Gazetteer!$T$3:$T$9941,MATCH(1,(Q68=Gazetteer!$C$3:$C$9941)*(R68=Gazetteer!$D$3:$D$9941)*(S68=Gazetteer!$E$3:$E$9941),0))</f>
        <v>19º58.25′S</v>
      </c>
      <c r="U68" s="34" t="str">
        <f t="array" ref="U68">INDEX(Gazetteer!$U$3:$U$9941,MATCH(1,(Q68=Gazetteer!$C$3:$C$9941)*(R68=Gazetteer!$D$3:$D$9941)*(S68=Gazetteer!$E$3:$E$9941),0))</f>
        <v>040º08.42′W</v>
      </c>
      <c r="V68" s="34" t="s">
        <v>107</v>
      </c>
      <c r="W68" s="40" t="s">
        <v>334</v>
      </c>
      <c r="X68" s="5" t="s">
        <v>107</v>
      </c>
      <c r="Y68" s="11" t="s">
        <v>107</v>
      </c>
      <c r="Z68" s="5" t="s">
        <v>107</v>
      </c>
      <c r="AA68" t="s">
        <v>107</v>
      </c>
    </row>
    <row r="69" spans="1:27" x14ac:dyDescent="0.2">
      <c r="A69" s="5">
        <v>206</v>
      </c>
      <c r="B69" s="29" t="s">
        <v>866</v>
      </c>
      <c r="C69" s="29" t="s">
        <v>110</v>
      </c>
      <c r="D69" s="29" t="s">
        <v>117</v>
      </c>
      <c r="E69" s="30" t="s">
        <v>82</v>
      </c>
      <c r="F69" s="4" t="s">
        <v>35</v>
      </c>
      <c r="G69" s="29" t="s">
        <v>331</v>
      </c>
      <c r="H69" s="4" t="s">
        <v>107</v>
      </c>
      <c r="I69" t="s">
        <v>150</v>
      </c>
      <c r="J69" s="8" t="s">
        <v>107</v>
      </c>
      <c r="K69" s="9" t="s">
        <v>107</v>
      </c>
      <c r="L69" s="10" t="s">
        <v>107</v>
      </c>
      <c r="M69" s="10" t="s">
        <v>107</v>
      </c>
      <c r="N69" s="9" t="s">
        <v>107</v>
      </c>
      <c r="O69" s="9" t="s">
        <v>107</v>
      </c>
      <c r="P69" s="9" t="s">
        <v>184</v>
      </c>
      <c r="Q69" s="9" t="s">
        <v>283</v>
      </c>
      <c r="R69" s="9" t="s">
        <v>672</v>
      </c>
      <c r="S69" s="9" t="s">
        <v>673</v>
      </c>
      <c r="T69" s="34" t="str">
        <f t="array" ref="T69">INDEX(Gazetteer!$T$3:$T$9941,MATCH(1,(Q69=Gazetteer!$C$3:$C$9941)*(R69=Gazetteer!$D$3:$D$9941)*(S69=Gazetteer!$E$3:$E$9941),0))</f>
        <v>03º44.00′S</v>
      </c>
      <c r="U69" s="34" t="str">
        <f t="array" ref="U69">INDEX(Gazetteer!$U$3:$U$9941,MATCH(1,(Q69=Gazetteer!$C$3:$C$9941)*(R69=Gazetteer!$D$3:$D$9941)*(S69=Gazetteer!$E$3:$E$9941),0))</f>
        <v>038º33.00′W</v>
      </c>
      <c r="V69" s="34">
        <f>INDEX(Ref!C:C,MATCH(W69,Ref!B:B,0))</f>
        <v>2000</v>
      </c>
      <c r="W69" s="38" t="s">
        <v>1169</v>
      </c>
      <c r="X69" s="5">
        <v>98</v>
      </c>
      <c r="Y69" s="11" t="s">
        <v>107</v>
      </c>
      <c r="Z69" s="5" t="s">
        <v>107</v>
      </c>
      <c r="AA69" t="s">
        <v>107</v>
      </c>
    </row>
    <row r="70" spans="1:27" x14ac:dyDescent="0.2">
      <c r="A70" s="5">
        <v>154</v>
      </c>
      <c r="B70" s="29" t="s">
        <v>866</v>
      </c>
      <c r="C70" s="29" t="s">
        <v>110</v>
      </c>
      <c r="D70" s="29" t="s">
        <v>117</v>
      </c>
      <c r="E70" s="30" t="s">
        <v>83</v>
      </c>
      <c r="F70" s="4" t="s">
        <v>36</v>
      </c>
      <c r="G70" s="29" t="s">
        <v>872</v>
      </c>
      <c r="H70" s="4" t="s">
        <v>572</v>
      </c>
      <c r="I70" t="s">
        <v>150</v>
      </c>
      <c r="J70" s="4" t="s">
        <v>107</v>
      </c>
      <c r="K70" s="9" t="s">
        <v>573</v>
      </c>
      <c r="L70" s="24">
        <v>72</v>
      </c>
      <c r="M70" s="10" t="s">
        <v>130</v>
      </c>
      <c r="N70" s="9" t="s">
        <v>189</v>
      </c>
      <c r="O70" s="9" t="s">
        <v>190</v>
      </c>
      <c r="P70" s="9" t="s">
        <v>184</v>
      </c>
      <c r="Q70" s="9" t="s">
        <v>283</v>
      </c>
      <c r="R70" s="9" t="s">
        <v>574</v>
      </c>
      <c r="S70" s="9" t="s">
        <v>575</v>
      </c>
      <c r="T70" s="34" t="str">
        <f t="array" ref="T70">INDEX(Gazetteer!$T$3:$T$9941,MATCH(1,(Q70=Gazetteer!$C$3:$C$9941)*(R70=Gazetteer!$D$3:$D$9941)*(S70=Gazetteer!$E$3:$E$9941),0))</f>
        <v>15º32.58′S</v>
      </c>
      <c r="U70" s="34" t="str">
        <f t="array" ref="U70">INDEX(Gazetteer!$U$3:$U$9941,MATCH(1,(Q70=Gazetteer!$C$3:$C$9941)*(R70=Gazetteer!$D$3:$D$9941)*(S70=Gazetteer!$E$3:$E$9941),0))</f>
        <v>047º34.70′W</v>
      </c>
      <c r="V70" s="34">
        <f>INDEX(Ref!C:C,MATCH(W70,Ref!B:B,0))</f>
        <v>2008</v>
      </c>
      <c r="W70" s="37" t="s">
        <v>1199</v>
      </c>
      <c r="X70" s="5">
        <v>421</v>
      </c>
      <c r="Y70" s="11" t="s">
        <v>107</v>
      </c>
      <c r="Z70" s="5" t="s">
        <v>107</v>
      </c>
      <c r="AA70" t="s">
        <v>107</v>
      </c>
    </row>
    <row r="71" spans="1:27" x14ac:dyDescent="0.2">
      <c r="A71" s="5">
        <v>84</v>
      </c>
      <c r="B71" s="29" t="s">
        <v>866</v>
      </c>
      <c r="C71" s="29" t="s">
        <v>110</v>
      </c>
      <c r="D71" s="29" t="s">
        <v>117</v>
      </c>
      <c r="E71" s="30" t="s">
        <v>84</v>
      </c>
      <c r="F71" s="4" t="s">
        <v>37</v>
      </c>
      <c r="G71" s="29" t="s">
        <v>692</v>
      </c>
      <c r="H71" s="4" t="s">
        <v>107</v>
      </c>
      <c r="I71" t="s">
        <v>150</v>
      </c>
      <c r="J71" s="4" t="s">
        <v>107</v>
      </c>
      <c r="K71" s="9" t="s">
        <v>405</v>
      </c>
      <c r="L71" s="10">
        <v>4138</v>
      </c>
      <c r="M71" s="10" t="s">
        <v>130</v>
      </c>
      <c r="N71" s="9" t="s">
        <v>189</v>
      </c>
      <c r="O71" s="9" t="s">
        <v>190</v>
      </c>
      <c r="P71" s="9" t="s">
        <v>184</v>
      </c>
      <c r="Q71" s="9" t="s">
        <v>135</v>
      </c>
      <c r="R71" s="9" t="s">
        <v>408</v>
      </c>
      <c r="S71" s="9" t="s">
        <v>409</v>
      </c>
      <c r="T71" s="34" t="str">
        <f t="array" ref="T71">INDEX(Gazetteer!$T$3:$T$9941,MATCH(1,(Q71=Gazetteer!$C$3:$C$9941)*(R71=Gazetteer!$D$3:$D$9941)*(S71=Gazetteer!$E$3:$E$9941),0))</f>
        <v>25º28.00′S</v>
      </c>
      <c r="U71" s="34" t="str">
        <f t="array" ref="U71">INDEX(Gazetteer!$U$3:$U$9941,MATCH(1,(Q71=Gazetteer!$C$3:$C$9941)*(R71=Gazetteer!$D$3:$D$9941)*(S71=Gazetteer!$E$3:$E$9941),0))</f>
        <v>065º01.00′W</v>
      </c>
      <c r="V71" s="34">
        <f>INDEX(Ref!C:C,MATCH(W71,Ref!B:B,0))</f>
        <v>2003</v>
      </c>
      <c r="W71" s="37" t="s">
        <v>1200</v>
      </c>
      <c r="X71" s="5">
        <v>166</v>
      </c>
      <c r="Y71" s="11" t="s">
        <v>107</v>
      </c>
      <c r="Z71" s="5" t="s">
        <v>107</v>
      </c>
      <c r="AA71" t="s">
        <v>107</v>
      </c>
    </row>
    <row r="72" spans="1:27" x14ac:dyDescent="0.2">
      <c r="A72" s="5">
        <v>133</v>
      </c>
      <c r="B72" s="29" t="s">
        <v>866</v>
      </c>
      <c r="C72" s="29" t="s">
        <v>110</v>
      </c>
      <c r="D72" s="29" t="s">
        <v>117</v>
      </c>
      <c r="E72" s="30" t="s">
        <v>85</v>
      </c>
      <c r="F72" s="4" t="s">
        <v>38</v>
      </c>
      <c r="G72" s="29" t="s">
        <v>693</v>
      </c>
      <c r="H72" s="4" t="s">
        <v>535</v>
      </c>
      <c r="I72" t="s">
        <v>150</v>
      </c>
      <c r="J72" s="8" t="s">
        <v>107</v>
      </c>
      <c r="K72" s="9" t="s">
        <v>536</v>
      </c>
      <c r="L72" s="10">
        <v>3623</v>
      </c>
      <c r="M72" s="10" t="s">
        <v>156</v>
      </c>
      <c r="N72" s="9" t="s">
        <v>107</v>
      </c>
      <c r="O72" s="9" t="s">
        <v>107</v>
      </c>
      <c r="P72" s="9" t="s">
        <v>107</v>
      </c>
      <c r="Q72" s="9" t="s">
        <v>317</v>
      </c>
      <c r="R72" s="9" t="s">
        <v>537</v>
      </c>
      <c r="S72" s="9" t="s">
        <v>538</v>
      </c>
      <c r="T72" s="34" t="str">
        <f t="array" ref="T72">INDEX(Gazetteer!$T$3:$T$9941,MATCH(1,(Q72=Gazetteer!$C$3:$C$9941)*(R72=Gazetteer!$D$3:$D$9941)*(S72=Gazetteer!$E$3:$E$9941),0))</f>
        <v>10º58.00′N</v>
      </c>
      <c r="U72" s="34" t="str">
        <f t="array" ref="U72">INDEX(Gazetteer!$U$3:$U$9941,MATCH(1,(Q72=Gazetteer!$C$3:$C$9941)*(R72=Gazetteer!$D$3:$D$9941)*(S72=Gazetteer!$E$3:$E$9941),0))</f>
        <v>074º30.00′W</v>
      </c>
      <c r="V72" s="34">
        <f>INDEX(Ref!C:C,MATCH(W72,Ref!B:B,0))</f>
        <v>2011</v>
      </c>
      <c r="W72" s="39" t="s">
        <v>1201</v>
      </c>
      <c r="X72" s="5">
        <v>97</v>
      </c>
      <c r="Y72" s="11" t="s">
        <v>107</v>
      </c>
      <c r="Z72" s="5" t="s">
        <v>107</v>
      </c>
      <c r="AA72" t="s">
        <v>107</v>
      </c>
    </row>
    <row r="73" spans="1:27" x14ac:dyDescent="0.2">
      <c r="A73" s="5">
        <v>134</v>
      </c>
      <c r="B73" s="29" t="s">
        <v>866</v>
      </c>
      <c r="C73" s="29" t="s">
        <v>110</v>
      </c>
      <c r="D73" s="29" t="s">
        <v>117</v>
      </c>
      <c r="E73" s="30" t="s">
        <v>85</v>
      </c>
      <c r="F73" s="4" t="s">
        <v>38</v>
      </c>
      <c r="G73" s="29" t="s">
        <v>693</v>
      </c>
      <c r="H73" s="4" t="s">
        <v>535</v>
      </c>
      <c r="I73" t="s">
        <v>150</v>
      </c>
      <c r="J73" s="8" t="s">
        <v>107</v>
      </c>
      <c r="K73" s="9" t="s">
        <v>536</v>
      </c>
      <c r="L73" s="10">
        <v>3625</v>
      </c>
      <c r="M73" s="10" t="s">
        <v>156</v>
      </c>
      <c r="N73" s="9" t="s">
        <v>107</v>
      </c>
      <c r="O73" s="9" t="s">
        <v>107</v>
      </c>
      <c r="P73" s="9" t="s">
        <v>107</v>
      </c>
      <c r="Q73" s="9" t="s">
        <v>317</v>
      </c>
      <c r="R73" s="9" t="s">
        <v>537</v>
      </c>
      <c r="S73" s="9" t="s">
        <v>538</v>
      </c>
      <c r="T73" s="34" t="str">
        <f t="array" ref="T73">INDEX(Gazetteer!$T$3:$T$9941,MATCH(1,(Q73=Gazetteer!$C$3:$C$9941)*(R73=Gazetteer!$D$3:$D$9941)*(S73=Gazetteer!$E$3:$E$9941),0))</f>
        <v>10º58.00′N</v>
      </c>
      <c r="U73" s="34" t="str">
        <f t="array" ref="U73">INDEX(Gazetteer!$U$3:$U$9941,MATCH(1,(Q73=Gazetteer!$C$3:$C$9941)*(R73=Gazetteer!$D$3:$D$9941)*(S73=Gazetteer!$E$3:$E$9941),0))</f>
        <v>074º30.00′W</v>
      </c>
      <c r="V73" s="34">
        <f>INDEX(Ref!C:C,MATCH(W73,Ref!B:B,0))</f>
        <v>2011</v>
      </c>
      <c r="W73" s="39" t="s">
        <v>1201</v>
      </c>
      <c r="X73" s="5">
        <v>97</v>
      </c>
      <c r="Y73" s="11" t="s">
        <v>107</v>
      </c>
      <c r="Z73" s="5" t="s">
        <v>107</v>
      </c>
      <c r="AA73" t="s">
        <v>107</v>
      </c>
    </row>
    <row r="74" spans="1:27" x14ac:dyDescent="0.2">
      <c r="A74" s="5">
        <v>135</v>
      </c>
      <c r="B74" s="29" t="s">
        <v>866</v>
      </c>
      <c r="C74" s="29" t="s">
        <v>110</v>
      </c>
      <c r="D74" s="29" t="s">
        <v>117</v>
      </c>
      <c r="E74" s="30" t="s">
        <v>85</v>
      </c>
      <c r="F74" s="4" t="s">
        <v>38</v>
      </c>
      <c r="G74" s="29" t="s">
        <v>693</v>
      </c>
      <c r="H74" s="4" t="s">
        <v>535</v>
      </c>
      <c r="I74" t="s">
        <v>150</v>
      </c>
      <c r="J74" s="8" t="s">
        <v>107</v>
      </c>
      <c r="K74" s="9" t="s">
        <v>536</v>
      </c>
      <c r="L74" s="10">
        <v>3624</v>
      </c>
      <c r="M74" s="10" t="s">
        <v>130</v>
      </c>
      <c r="N74" s="9" t="s">
        <v>107</v>
      </c>
      <c r="O74" s="9" t="s">
        <v>107</v>
      </c>
      <c r="P74" s="9" t="s">
        <v>107</v>
      </c>
      <c r="Q74" s="9" t="s">
        <v>317</v>
      </c>
      <c r="R74" s="9" t="s">
        <v>537</v>
      </c>
      <c r="S74" s="9" t="s">
        <v>538</v>
      </c>
      <c r="T74" s="34" t="str">
        <f t="array" ref="T74">INDEX(Gazetteer!$T$3:$T$9941,MATCH(1,(Q74=Gazetteer!$C$3:$C$9941)*(R74=Gazetteer!$D$3:$D$9941)*(S74=Gazetteer!$E$3:$E$9941),0))</f>
        <v>10º58.00′N</v>
      </c>
      <c r="U74" s="34" t="str">
        <f t="array" ref="U74">INDEX(Gazetteer!$U$3:$U$9941,MATCH(1,(Q74=Gazetteer!$C$3:$C$9941)*(R74=Gazetteer!$D$3:$D$9941)*(S74=Gazetteer!$E$3:$E$9941),0))</f>
        <v>074º30.00′W</v>
      </c>
      <c r="V74" s="34">
        <f>INDEX(Ref!C:C,MATCH(W74,Ref!B:B,0))</f>
        <v>2011</v>
      </c>
      <c r="W74" s="39" t="s">
        <v>1201</v>
      </c>
      <c r="X74" s="5">
        <v>97</v>
      </c>
      <c r="Y74" s="11" t="s">
        <v>107</v>
      </c>
      <c r="Z74" s="5" t="s">
        <v>107</v>
      </c>
      <c r="AA74" t="s">
        <v>107</v>
      </c>
    </row>
    <row r="75" spans="1:27" x14ac:dyDescent="0.2">
      <c r="A75" s="5">
        <v>383</v>
      </c>
      <c r="B75" s="29" t="s">
        <v>866</v>
      </c>
      <c r="C75" s="29" t="s">
        <v>124</v>
      </c>
      <c r="D75" s="29" t="s">
        <v>107</v>
      </c>
      <c r="E75" s="30" t="s">
        <v>98</v>
      </c>
      <c r="F75" s="4" t="s">
        <v>66</v>
      </c>
      <c r="G75" s="29" t="s">
        <v>694</v>
      </c>
      <c r="H75" s="4" t="s">
        <v>107</v>
      </c>
      <c r="I75" t="s">
        <v>150</v>
      </c>
      <c r="J75" s="4" t="s">
        <v>107</v>
      </c>
      <c r="K75" s="9" t="s">
        <v>107</v>
      </c>
      <c r="L75" s="10" t="s">
        <v>107</v>
      </c>
      <c r="M75" s="10" t="s">
        <v>130</v>
      </c>
      <c r="N75" s="9" t="s">
        <v>107</v>
      </c>
      <c r="O75" s="9" t="s">
        <v>107</v>
      </c>
      <c r="P75" s="9" t="s">
        <v>184</v>
      </c>
      <c r="Q75" s="9" t="s">
        <v>263</v>
      </c>
      <c r="R75" s="9" t="s">
        <v>107</v>
      </c>
      <c r="S75" s="9" t="s">
        <v>107</v>
      </c>
      <c r="T75" s="34" t="str">
        <f t="array" ref="T75">INDEX(Gazetteer!$T$3:$T$9941,MATCH(1,(Q75=Gazetteer!$C$3:$C$9941)*(R75=Gazetteer!$D$3:$D$9941)*(S75=Gazetteer!$E$3:$E$9941),0))</f>
        <v>23º38.07′N</v>
      </c>
      <c r="U75" s="34" t="str">
        <f t="array" ref="U75">INDEX(Gazetteer!$U$3:$U$9941,MATCH(1,(Q75=Gazetteer!$C$3:$C$9941)*(R75=Gazetteer!$D$3:$D$9941)*(S75=Gazetteer!$E$3:$E$9941),0))</f>
        <v>102º33.17′W</v>
      </c>
      <c r="V75" s="34">
        <f>INDEX(Ref!C:C,MATCH(W75,Ref!B:B,0))</f>
        <v>2017</v>
      </c>
      <c r="W75" s="36" t="s">
        <v>1165</v>
      </c>
      <c r="X75" s="5" t="s">
        <v>957</v>
      </c>
      <c r="Y75" s="11" t="s">
        <v>963</v>
      </c>
      <c r="Z75" s="5" t="s">
        <v>107</v>
      </c>
      <c r="AA75" t="s">
        <v>107</v>
      </c>
    </row>
    <row r="76" spans="1:27" x14ac:dyDescent="0.2">
      <c r="A76" s="5">
        <v>158</v>
      </c>
      <c r="B76" s="29" t="s">
        <v>874</v>
      </c>
      <c r="C76" s="29" t="s">
        <v>118</v>
      </c>
      <c r="D76" s="29" t="s">
        <v>119</v>
      </c>
      <c r="E76" s="30" t="s">
        <v>86</v>
      </c>
      <c r="F76" s="4" t="s">
        <v>39</v>
      </c>
      <c r="G76" s="29" t="s">
        <v>879</v>
      </c>
      <c r="H76" s="4" t="s">
        <v>589</v>
      </c>
      <c r="I76" t="s">
        <v>150</v>
      </c>
      <c r="J76" s="4" t="s">
        <v>107</v>
      </c>
      <c r="K76" s="9" t="s">
        <v>107</v>
      </c>
      <c r="L76" s="10" t="s">
        <v>107</v>
      </c>
      <c r="M76" s="10" t="s">
        <v>107</v>
      </c>
      <c r="N76" s="9" t="s">
        <v>107</v>
      </c>
      <c r="O76" s="9" t="s">
        <v>107</v>
      </c>
      <c r="P76" s="9" t="s">
        <v>157</v>
      </c>
      <c r="Q76" s="9" t="s">
        <v>590</v>
      </c>
      <c r="R76" s="9" t="s">
        <v>591</v>
      </c>
      <c r="S76" s="9" t="s">
        <v>592</v>
      </c>
      <c r="T76" s="34" t="str">
        <f t="array" ref="T76">INDEX(Gazetteer!$T$3:$T$9941,MATCH(1,(Q76=Gazetteer!$C$3:$C$9941)*(R76=Gazetteer!$D$3:$D$9941)*(S76=Gazetteer!$E$3:$E$9941),0))</f>
        <v>05º50.37′N</v>
      </c>
      <c r="U76" s="34" t="str">
        <f t="array" ref="U76">INDEX(Gazetteer!$U$3:$U$9941,MATCH(1,(Q76=Gazetteer!$C$3:$C$9941)*(R76=Gazetteer!$D$3:$D$9941)*(S76=Gazetteer!$E$3:$E$9941),0))</f>
        <v>118º07.02′E</v>
      </c>
      <c r="V76" s="34">
        <f>INDEX(Ref!C:C,MATCH(W76,Ref!B:B,0))</f>
        <v>1884</v>
      </c>
      <c r="W76" s="37" t="s">
        <v>1202</v>
      </c>
      <c r="X76" s="5">
        <v>532</v>
      </c>
      <c r="Y76" s="11" t="s">
        <v>107</v>
      </c>
      <c r="Z76" s="5" t="s">
        <v>107</v>
      </c>
      <c r="AA76" t="s">
        <v>107</v>
      </c>
    </row>
    <row r="77" spans="1:27" x14ac:dyDescent="0.2">
      <c r="A77" s="5">
        <v>188</v>
      </c>
      <c r="B77" s="29" t="s">
        <v>874</v>
      </c>
      <c r="C77" s="29" t="s">
        <v>118</v>
      </c>
      <c r="D77" s="29" t="s">
        <v>119</v>
      </c>
      <c r="E77" s="30" t="s">
        <v>87</v>
      </c>
      <c r="F77" s="4" t="s">
        <v>40</v>
      </c>
      <c r="G77" s="29" t="s">
        <v>695</v>
      </c>
      <c r="H77" s="4" t="s">
        <v>107</v>
      </c>
      <c r="I77" t="s">
        <v>150</v>
      </c>
      <c r="J77" s="4" t="s">
        <v>107</v>
      </c>
      <c r="K77" s="9" t="s">
        <v>640</v>
      </c>
      <c r="L77" s="10" t="s">
        <v>641</v>
      </c>
      <c r="M77" s="10" t="s">
        <v>130</v>
      </c>
      <c r="N77" s="9" t="s">
        <v>177</v>
      </c>
      <c r="O77" s="9" t="s">
        <v>107</v>
      </c>
      <c r="P77" s="9" t="s">
        <v>178</v>
      </c>
      <c r="Q77" s="9" t="s">
        <v>283</v>
      </c>
      <c r="R77" s="9" t="s">
        <v>289</v>
      </c>
      <c r="S77" s="9" t="s">
        <v>642</v>
      </c>
      <c r="T77" s="34" t="str">
        <f t="array" ref="T77">INDEX(Gazetteer!$T$3:$T$9941,MATCH(1,(Q77=Gazetteer!$C$3:$C$9941)*(R77=Gazetteer!$D$3:$D$9941)*(S77=Gazetteer!$E$3:$E$9941),0))</f>
        <v>22º54.58′S</v>
      </c>
      <c r="U77" s="34" t="str">
        <f t="array" ref="U77">INDEX(Gazetteer!$U$3:$U$9941,MATCH(1,(Q77=Gazetteer!$C$3:$C$9941)*(R77=Gazetteer!$D$3:$D$9941)*(S77=Gazetteer!$E$3:$E$9941),0))</f>
        <v>047º03.75′W</v>
      </c>
      <c r="V77" s="34">
        <f>INDEX(Ref!C:C,MATCH(W77,Ref!B:B,0))</f>
        <v>2004</v>
      </c>
      <c r="W77" s="37" t="s">
        <v>1203</v>
      </c>
      <c r="X77" s="5">
        <v>200</v>
      </c>
      <c r="Y77" s="11" t="s">
        <v>107</v>
      </c>
      <c r="Z77" s="5" t="s">
        <v>107</v>
      </c>
      <c r="AA77" t="s">
        <v>107</v>
      </c>
    </row>
    <row r="78" spans="1:27" x14ac:dyDescent="0.2">
      <c r="A78" s="5">
        <v>358</v>
      </c>
      <c r="B78" s="29" t="s">
        <v>874</v>
      </c>
      <c r="C78" s="29" t="s">
        <v>118</v>
      </c>
      <c r="D78" s="29" t="s">
        <v>119</v>
      </c>
      <c r="E78" s="30" t="s">
        <v>88</v>
      </c>
      <c r="F78" s="4" t="s">
        <v>41</v>
      </c>
      <c r="G78" s="29" t="s">
        <v>355</v>
      </c>
      <c r="H78" s="4" t="s">
        <v>107</v>
      </c>
      <c r="I78" t="s">
        <v>150</v>
      </c>
      <c r="J78" s="4" t="s">
        <v>107</v>
      </c>
      <c r="K78" s="9" t="s">
        <v>107</v>
      </c>
      <c r="L78" s="10" t="s">
        <v>107</v>
      </c>
      <c r="M78" s="10" t="s">
        <v>156</v>
      </c>
      <c r="N78" s="9" t="s">
        <v>107</v>
      </c>
      <c r="O78" s="9" t="s">
        <v>107</v>
      </c>
      <c r="P78" s="9" t="s">
        <v>256</v>
      </c>
      <c r="Q78" s="9" t="s">
        <v>283</v>
      </c>
      <c r="R78" s="9" t="s">
        <v>107</v>
      </c>
      <c r="S78" s="9" t="s">
        <v>107</v>
      </c>
      <c r="T78" s="34" t="str">
        <f t="array" ref="T78">INDEX(Gazetteer!$T$3:$T$9941,MATCH(1,(Q78=Gazetteer!$C$3:$C$9941)*(R78=Gazetteer!$D$3:$D$9941)*(S78=Gazetteer!$E$3:$E$9941),0))</f>
        <v>-</v>
      </c>
      <c r="U78" s="34" t="str">
        <f t="array" ref="U78">INDEX(Gazetteer!$U$3:$U$9941,MATCH(1,(Q78=Gazetteer!$C$3:$C$9941)*(R78=Gazetteer!$D$3:$D$9941)*(S78=Gazetteer!$E$3:$E$9941),0))</f>
        <v>-</v>
      </c>
      <c r="V78" s="34">
        <f>INDEX(Ref!C:C,MATCH(W78,Ref!B:B,0))</f>
        <v>2017</v>
      </c>
      <c r="W78" s="36" t="s">
        <v>1165</v>
      </c>
      <c r="X78" s="5" t="s">
        <v>957</v>
      </c>
      <c r="Y78" s="11" t="s">
        <v>674</v>
      </c>
      <c r="Z78" s="5" t="s">
        <v>107</v>
      </c>
      <c r="AA78" t="s">
        <v>107</v>
      </c>
    </row>
    <row r="79" spans="1:27" x14ac:dyDescent="0.2">
      <c r="A79" s="5">
        <v>332</v>
      </c>
      <c r="B79" s="29" t="s">
        <v>874</v>
      </c>
      <c r="C79" s="29" t="s">
        <v>118</v>
      </c>
      <c r="D79" s="29" t="s">
        <v>119</v>
      </c>
      <c r="E79" s="30" t="s">
        <v>88</v>
      </c>
      <c r="F79" s="4" t="s">
        <v>41</v>
      </c>
      <c r="G79" s="29" t="s">
        <v>355</v>
      </c>
      <c r="H79" s="4" t="s">
        <v>107</v>
      </c>
      <c r="I79" t="s">
        <v>150</v>
      </c>
      <c r="J79" s="4" t="s">
        <v>107</v>
      </c>
      <c r="K79" s="9" t="s">
        <v>944</v>
      </c>
      <c r="L79" s="10">
        <v>45475</v>
      </c>
      <c r="M79" s="10" t="s">
        <v>156</v>
      </c>
      <c r="N79" s="9" t="s">
        <v>189</v>
      </c>
      <c r="O79" s="9" t="s">
        <v>107</v>
      </c>
      <c r="P79" s="9" t="s">
        <v>184</v>
      </c>
      <c r="Q79" s="9" t="s">
        <v>283</v>
      </c>
      <c r="R79" s="9" t="s">
        <v>945</v>
      </c>
      <c r="S79" s="9" t="s">
        <v>946</v>
      </c>
      <c r="T79" s="34" t="str">
        <f t="array" ref="T79">INDEX(Gazetteer!$T$3:$T$9941,MATCH(1,(Q79=Gazetteer!$C$3:$C$9941)*(R79=Gazetteer!$D$3:$D$9941)*(S79=Gazetteer!$E$3:$E$9941),0))</f>
        <v>05º31.78′S</v>
      </c>
      <c r="U79" s="34" t="str">
        <f t="array" ref="U79">INDEX(Gazetteer!$U$3:$U$9941,MATCH(1,(Q79=Gazetteer!$C$3:$C$9941)*(R79=Gazetteer!$D$3:$D$9941)*(S79=Gazetteer!$E$3:$E$9941),0))</f>
        <v>047º29.47′W</v>
      </c>
      <c r="V79" s="34">
        <f>INDEX(Ref!C:C,MATCH(W79,Ref!B:B,0))</f>
        <v>2018</v>
      </c>
      <c r="W79" s="36" t="s">
        <v>1204</v>
      </c>
      <c r="X79" s="5">
        <v>274</v>
      </c>
      <c r="Y79" s="11" t="s">
        <v>107</v>
      </c>
      <c r="Z79" s="5" t="s">
        <v>107</v>
      </c>
      <c r="AA79" t="s">
        <v>947</v>
      </c>
    </row>
    <row r="80" spans="1:27" x14ac:dyDescent="0.2">
      <c r="A80" s="5">
        <v>208</v>
      </c>
      <c r="B80" s="29" t="s">
        <v>874</v>
      </c>
      <c r="C80" s="29" t="s">
        <v>118</v>
      </c>
      <c r="D80" s="29" t="s">
        <v>119</v>
      </c>
      <c r="E80" s="30" t="s">
        <v>88</v>
      </c>
      <c r="F80" s="4" t="s">
        <v>41</v>
      </c>
      <c r="G80" s="29" t="s">
        <v>355</v>
      </c>
      <c r="H80" s="4" t="s">
        <v>107</v>
      </c>
      <c r="I80" t="s">
        <v>150</v>
      </c>
      <c r="J80" s="4" t="s">
        <v>107</v>
      </c>
      <c r="K80" s="9" t="s">
        <v>107</v>
      </c>
      <c r="L80" s="10" t="s">
        <v>107</v>
      </c>
      <c r="M80" s="10" t="s">
        <v>107</v>
      </c>
      <c r="N80" s="9" t="s">
        <v>107</v>
      </c>
      <c r="O80" s="9" t="s">
        <v>107</v>
      </c>
      <c r="P80" s="9" t="s">
        <v>107</v>
      </c>
      <c r="Q80" s="9" t="s">
        <v>283</v>
      </c>
      <c r="R80" s="9" t="s">
        <v>480</v>
      </c>
      <c r="S80" s="9" t="s">
        <v>677</v>
      </c>
      <c r="T80" s="34" t="str">
        <f t="array" ref="T80">INDEX(Gazetteer!$T$3:$T$9941,MATCH(1,(Q80=Gazetteer!$C$3:$C$9941)*(R80=Gazetteer!$D$3:$D$9941)*(S80=Gazetteer!$E$3:$E$9941),0))</f>
        <v>33º31.55′S</v>
      </c>
      <c r="U80" s="34" t="str">
        <f t="array" ref="U80">INDEX(Gazetteer!$U$3:$U$9941,MATCH(1,(Q80=Gazetteer!$C$3:$C$9941)*(R80=Gazetteer!$D$3:$D$9941)*(S80=Gazetteer!$E$3:$E$9941),0))</f>
        <v>053º22.32′W</v>
      </c>
      <c r="V80" s="34">
        <f>INDEX(Ref!C:C,MATCH(W80,Ref!B:B,0))</f>
        <v>2006</v>
      </c>
      <c r="W80" s="39" t="s">
        <v>1205</v>
      </c>
      <c r="X80" s="5">
        <v>254</v>
      </c>
      <c r="Y80" s="14" t="s">
        <v>674</v>
      </c>
      <c r="Z80" s="5" t="s">
        <v>107</v>
      </c>
      <c r="AA80" t="s">
        <v>107</v>
      </c>
    </row>
    <row r="81" spans="1:27" x14ac:dyDescent="0.2">
      <c r="A81" s="5">
        <v>354</v>
      </c>
      <c r="B81" s="29" t="s">
        <v>874</v>
      </c>
      <c r="C81" s="29" t="s">
        <v>118</v>
      </c>
      <c r="D81" s="29" t="s">
        <v>119</v>
      </c>
      <c r="E81" s="30" t="s">
        <v>88</v>
      </c>
      <c r="F81" s="4" t="s">
        <v>41</v>
      </c>
      <c r="G81" s="29" t="s">
        <v>355</v>
      </c>
      <c r="H81" s="4" t="s">
        <v>107</v>
      </c>
      <c r="I81" t="s">
        <v>150</v>
      </c>
      <c r="J81" s="4" t="s">
        <v>107</v>
      </c>
      <c r="K81" s="9" t="s">
        <v>107</v>
      </c>
      <c r="L81" s="10" t="s">
        <v>107</v>
      </c>
      <c r="M81" s="10" t="s">
        <v>107</v>
      </c>
      <c r="N81" s="9" t="s">
        <v>107</v>
      </c>
      <c r="O81" s="9" t="s">
        <v>107</v>
      </c>
      <c r="P81" s="9" t="s">
        <v>107</v>
      </c>
      <c r="Q81" s="9" t="s">
        <v>489</v>
      </c>
      <c r="R81" s="9" t="s">
        <v>107</v>
      </c>
      <c r="S81" s="9" t="s">
        <v>107</v>
      </c>
      <c r="T81" s="34" t="str">
        <f t="array" ref="T81">INDEX(Gazetteer!$T$3:$T$9941,MATCH(1,(Q81=Gazetteer!$C$3:$C$9941)*(R81=Gazetteer!$D$3:$D$9941)*(S81=Gazetteer!$E$3:$E$9941),0))</f>
        <v>-</v>
      </c>
      <c r="U81" s="34" t="str">
        <f t="array" ref="U81">INDEX(Gazetteer!$U$3:$U$9941,MATCH(1,(Q81=Gazetteer!$C$3:$C$9941)*(R81=Gazetteer!$D$3:$D$9941)*(S81=Gazetteer!$E$3:$E$9941),0))</f>
        <v>-</v>
      </c>
      <c r="V81" s="34">
        <f>INDEX(Ref!C:C,MATCH(W81,Ref!B:B,0))</f>
        <v>2017</v>
      </c>
      <c r="W81" s="36" t="s">
        <v>1165</v>
      </c>
      <c r="X81" s="5" t="s">
        <v>957</v>
      </c>
      <c r="Y81" s="11" t="s">
        <v>171</v>
      </c>
      <c r="Z81" s="5" t="s">
        <v>107</v>
      </c>
      <c r="AA81" t="s">
        <v>107</v>
      </c>
    </row>
    <row r="82" spans="1:27" x14ac:dyDescent="0.2">
      <c r="A82" s="5">
        <v>198</v>
      </c>
      <c r="B82" s="29" t="s">
        <v>874</v>
      </c>
      <c r="C82" s="29" t="s">
        <v>118</v>
      </c>
      <c r="D82" s="29" t="s">
        <v>119</v>
      </c>
      <c r="E82" s="30" t="s">
        <v>88</v>
      </c>
      <c r="F82" s="4" t="s">
        <v>41</v>
      </c>
      <c r="G82" s="29" t="s">
        <v>355</v>
      </c>
      <c r="H82" s="4" t="s">
        <v>107</v>
      </c>
      <c r="I82" t="s">
        <v>150</v>
      </c>
      <c r="J82" s="8" t="s">
        <v>107</v>
      </c>
      <c r="K82" s="9" t="s">
        <v>359</v>
      </c>
      <c r="L82" s="10">
        <v>278458</v>
      </c>
      <c r="M82" s="10" t="s">
        <v>130</v>
      </c>
      <c r="N82" s="9" t="s">
        <v>189</v>
      </c>
      <c r="O82" s="9" t="s">
        <v>190</v>
      </c>
      <c r="P82" s="9" t="s">
        <v>107</v>
      </c>
      <c r="Q82" s="9" t="s">
        <v>303</v>
      </c>
      <c r="R82" s="9" t="s">
        <v>599</v>
      </c>
      <c r="S82" s="9" t="s">
        <v>656</v>
      </c>
      <c r="T82" s="34" t="str">
        <f t="array" ref="T82">INDEX(Gazetteer!$T$3:$T$9941,MATCH(1,(Q82=Gazetteer!$C$3:$C$9941)*(R82=Gazetteer!$D$3:$D$9941)*(S82=Gazetteer!$E$3:$E$9941),0))</f>
        <v>04º55.00′S</v>
      </c>
      <c r="U82" s="34" t="str">
        <f t="array" ref="U82">INDEX(Gazetteer!$U$3:$U$9941,MATCH(1,(Q82=Gazetteer!$C$3:$C$9941)*(R82=Gazetteer!$D$3:$D$9941)*(S82=Gazetteer!$E$3:$E$9941),0))</f>
        <v>073º45.00′W</v>
      </c>
      <c r="V82" s="34">
        <f>INDEX(Ref!C:C,MATCH(W82,Ref!B:B,0))</f>
        <v>2014</v>
      </c>
      <c r="W82" s="39" t="s">
        <v>1206</v>
      </c>
      <c r="X82" s="5">
        <v>192</v>
      </c>
      <c r="Y82" s="11" t="s">
        <v>107</v>
      </c>
      <c r="Z82" s="5" t="s">
        <v>107</v>
      </c>
      <c r="AA82" t="s">
        <v>107</v>
      </c>
    </row>
    <row r="83" spans="1:27" x14ac:dyDescent="0.2">
      <c r="A83" s="5">
        <v>117</v>
      </c>
      <c r="B83" s="29" t="s">
        <v>874</v>
      </c>
      <c r="C83" s="29" t="s">
        <v>118</v>
      </c>
      <c r="D83" s="29" t="s">
        <v>119</v>
      </c>
      <c r="E83" s="30" t="s">
        <v>88</v>
      </c>
      <c r="F83" s="4" t="s">
        <v>41</v>
      </c>
      <c r="G83" s="29" t="s">
        <v>355</v>
      </c>
      <c r="H83" s="4" t="s">
        <v>498</v>
      </c>
      <c r="I83" t="s">
        <v>150</v>
      </c>
      <c r="J83" s="4" t="s">
        <v>107</v>
      </c>
      <c r="K83" s="9" t="s">
        <v>499</v>
      </c>
      <c r="L83" s="10">
        <v>16</v>
      </c>
      <c r="M83" s="10" t="s">
        <v>130</v>
      </c>
      <c r="N83" s="9" t="s">
        <v>189</v>
      </c>
      <c r="O83" s="9" t="s">
        <v>190</v>
      </c>
      <c r="P83" s="9" t="s">
        <v>178</v>
      </c>
      <c r="Q83" s="9" t="s">
        <v>500</v>
      </c>
      <c r="R83" s="9" t="s">
        <v>501</v>
      </c>
      <c r="S83" s="9" t="s">
        <v>502</v>
      </c>
      <c r="T83" s="34" t="str">
        <f t="array" ref="T83">INDEX(Gazetteer!$T$3:$T$9941,MATCH(1,(Q83=Gazetteer!$C$3:$C$9941)*(R83=Gazetteer!$D$3:$D$9941)*(S83=Gazetteer!$E$3:$E$9941),0))</f>
        <v>18º24.12′N</v>
      </c>
      <c r="U83" s="34" t="str">
        <f t="array" ref="U83">INDEX(Gazetteer!$U$3:$U$9941,MATCH(1,(Q83=Gazetteer!$C$3:$C$9941)*(R83=Gazetteer!$D$3:$D$9941)*(S83=Gazetteer!$E$3:$E$9941),0))</f>
        <v>065º51.88′W</v>
      </c>
      <c r="V83" s="34">
        <f>INDEX(Ref!C:C,MATCH(W83,Ref!B:B,0))</f>
        <v>1964</v>
      </c>
      <c r="W83" s="37" t="s">
        <v>1207</v>
      </c>
      <c r="X83" s="5">
        <v>476</v>
      </c>
      <c r="Y83" s="11" t="s">
        <v>107</v>
      </c>
      <c r="Z83" s="5" t="s">
        <v>107</v>
      </c>
      <c r="AA83" t="s">
        <v>107</v>
      </c>
    </row>
    <row r="84" spans="1:27" x14ac:dyDescent="0.2">
      <c r="A84" s="5">
        <v>118</v>
      </c>
      <c r="B84" s="29" t="s">
        <v>874</v>
      </c>
      <c r="C84" s="29" t="s">
        <v>118</v>
      </c>
      <c r="D84" s="29" t="s">
        <v>119</v>
      </c>
      <c r="E84" s="30" t="s">
        <v>88</v>
      </c>
      <c r="F84" s="4" t="s">
        <v>41</v>
      </c>
      <c r="G84" s="29" t="s">
        <v>355</v>
      </c>
      <c r="H84" s="4" t="s">
        <v>498</v>
      </c>
      <c r="I84" t="s">
        <v>150</v>
      </c>
      <c r="J84" s="4" t="s">
        <v>107</v>
      </c>
      <c r="K84" s="9" t="s">
        <v>499</v>
      </c>
      <c r="L84" s="10">
        <v>40</v>
      </c>
      <c r="M84" s="10" t="s">
        <v>156</v>
      </c>
      <c r="N84" s="9" t="s">
        <v>189</v>
      </c>
      <c r="O84" s="9" t="s">
        <v>190</v>
      </c>
      <c r="P84" s="9" t="s">
        <v>107</v>
      </c>
      <c r="Q84" s="9" t="s">
        <v>500</v>
      </c>
      <c r="R84" s="9" t="s">
        <v>503</v>
      </c>
      <c r="S84" s="9" t="s">
        <v>503</v>
      </c>
      <c r="T84" s="34" t="str">
        <f t="array" ref="T84">INDEX(Gazetteer!$T$3:$T$9941,MATCH(1,(Q84=Gazetteer!$C$3:$C$9941)*(R84=Gazetteer!$D$3:$D$9941)*(S84=Gazetteer!$E$3:$E$9941),0))</f>
        <v>18º15.92′N</v>
      </c>
      <c r="U84" s="34" t="str">
        <f t="array" ref="U84">INDEX(Gazetteer!$U$3:$U$9941,MATCH(1,(Q84=Gazetteer!$C$3:$C$9941)*(R84=Gazetteer!$D$3:$D$9941)*(S84=Gazetteer!$E$3:$E$9941),0))</f>
        <v>066º42.02′W</v>
      </c>
      <c r="V84" s="34">
        <f>INDEX(Ref!C:C,MATCH(W84,Ref!B:B,0))</f>
        <v>1964</v>
      </c>
      <c r="W84" s="37" t="s">
        <v>1207</v>
      </c>
      <c r="X84" s="5">
        <v>476</v>
      </c>
      <c r="Y84" s="11" t="s">
        <v>107</v>
      </c>
      <c r="Z84" s="5" t="s">
        <v>107</v>
      </c>
      <c r="AA84" t="s">
        <v>107</v>
      </c>
    </row>
    <row r="85" spans="1:27" x14ac:dyDescent="0.2">
      <c r="A85" s="5">
        <v>189</v>
      </c>
      <c r="B85" s="29" t="s">
        <v>874</v>
      </c>
      <c r="C85" s="29" t="s">
        <v>118</v>
      </c>
      <c r="D85" s="29" t="s">
        <v>119</v>
      </c>
      <c r="E85" s="30" t="s">
        <v>88</v>
      </c>
      <c r="F85" s="4" t="s">
        <v>41</v>
      </c>
      <c r="G85" s="29" t="s">
        <v>355</v>
      </c>
      <c r="H85" s="4" t="s">
        <v>107</v>
      </c>
      <c r="I85" t="s">
        <v>150</v>
      </c>
      <c r="J85" s="4" t="s">
        <v>107</v>
      </c>
      <c r="K85" s="9" t="s">
        <v>643</v>
      </c>
      <c r="L85" s="10">
        <v>1980</v>
      </c>
      <c r="M85" s="10" t="s">
        <v>156</v>
      </c>
      <c r="N85" s="9" t="s">
        <v>189</v>
      </c>
      <c r="O85" s="9" t="s">
        <v>190</v>
      </c>
      <c r="P85" s="9" t="s">
        <v>107</v>
      </c>
      <c r="Q85" s="9" t="s">
        <v>311</v>
      </c>
      <c r="R85" s="9" t="s">
        <v>644</v>
      </c>
      <c r="S85" s="9" t="s">
        <v>644</v>
      </c>
      <c r="T85" s="34" t="str">
        <f t="array" ref="T85">INDEX(Gazetteer!$T$3:$T$9941,MATCH(1,(Q85=Gazetteer!$C$3:$C$9941)*(R85=Gazetteer!$D$3:$D$9941)*(S85=Gazetteer!$E$3:$E$9941),0))</f>
        <v>03º38.00′N</v>
      </c>
      <c r="U85" s="34" t="str">
        <f t="array" ref="U85">INDEX(Gazetteer!$U$3:$U$9941,MATCH(1,(Q85=Gazetteer!$C$3:$C$9941)*(R85=Gazetteer!$D$3:$D$9941)*(S85=Gazetteer!$E$3:$E$9941),0))</f>
        <v>070º12.00′W</v>
      </c>
      <c r="V85" s="34">
        <f>INDEX(Ref!C:C,MATCH(W85,Ref!B:B,0))</f>
        <v>1993</v>
      </c>
      <c r="W85" s="37" t="s">
        <v>1208</v>
      </c>
      <c r="X85" s="5">
        <v>149</v>
      </c>
      <c r="Y85" s="11" t="s">
        <v>107</v>
      </c>
      <c r="Z85" s="5" t="s">
        <v>107</v>
      </c>
      <c r="AA85" t="s">
        <v>107</v>
      </c>
    </row>
    <row r="86" spans="1:27" x14ac:dyDescent="0.2">
      <c r="A86" s="5">
        <v>160</v>
      </c>
      <c r="B86" s="29" t="s">
        <v>874</v>
      </c>
      <c r="C86" s="29" t="s">
        <v>118</v>
      </c>
      <c r="D86" s="29" t="s">
        <v>119</v>
      </c>
      <c r="E86" s="30" t="s">
        <v>88</v>
      </c>
      <c r="F86" s="4" t="s">
        <v>42</v>
      </c>
      <c r="G86" s="29" t="s">
        <v>696</v>
      </c>
      <c r="H86" s="4" t="s">
        <v>107</v>
      </c>
      <c r="I86" t="s">
        <v>150</v>
      </c>
      <c r="J86" s="4" t="s">
        <v>107</v>
      </c>
      <c r="K86" s="9" t="s">
        <v>302</v>
      </c>
      <c r="L86" s="10">
        <v>42392</v>
      </c>
      <c r="M86" s="10" t="s">
        <v>130</v>
      </c>
      <c r="N86" s="9" t="s">
        <v>189</v>
      </c>
      <c r="O86" s="9" t="s">
        <v>190</v>
      </c>
      <c r="P86" s="9" t="s">
        <v>178</v>
      </c>
      <c r="Q86" s="9" t="s">
        <v>303</v>
      </c>
      <c r="R86" s="9" t="s">
        <v>599</v>
      </c>
      <c r="S86" s="9" t="s">
        <v>600</v>
      </c>
      <c r="T86" s="34" t="str">
        <f t="array" ref="T86">INDEX(Gazetteer!$T$3:$T$9941,MATCH(1,(Q86=Gazetteer!$C$3:$C$9941)*(R86=Gazetteer!$D$3:$D$9941)*(S86=Gazetteer!$E$3:$E$9941),0))</f>
        <v>03º45.79′S</v>
      </c>
      <c r="U86" s="34" t="str">
        <f t="array" ref="U86">INDEX(Gazetteer!$U$3:$U$9941,MATCH(1,(Q86=Gazetteer!$C$3:$C$9941)*(R86=Gazetteer!$D$3:$D$9941)*(S86=Gazetteer!$E$3:$E$9941),0))</f>
        <v>073º15.24′W</v>
      </c>
      <c r="V86" s="34">
        <f>INDEX(Ref!C:C,MATCH(W86,Ref!B:B,0))</f>
        <v>2014</v>
      </c>
      <c r="W86" s="37" t="s">
        <v>1209</v>
      </c>
      <c r="X86" s="5">
        <v>1289</v>
      </c>
      <c r="Y86" s="11" t="s">
        <v>107</v>
      </c>
      <c r="Z86" s="5" t="s">
        <v>107</v>
      </c>
      <c r="AA86" t="s">
        <v>107</v>
      </c>
    </row>
    <row r="87" spans="1:27" x14ac:dyDescent="0.2">
      <c r="A87" s="5">
        <v>159</v>
      </c>
      <c r="B87" s="29" t="s">
        <v>874</v>
      </c>
      <c r="C87" s="29" t="s">
        <v>118</v>
      </c>
      <c r="D87" s="29" t="s">
        <v>119</v>
      </c>
      <c r="E87" s="30" t="s">
        <v>89</v>
      </c>
      <c r="F87" s="4" t="s">
        <v>43</v>
      </c>
      <c r="G87" s="29" t="s">
        <v>697</v>
      </c>
      <c r="H87" s="4" t="s">
        <v>107</v>
      </c>
      <c r="I87" t="s">
        <v>150</v>
      </c>
      <c r="J87" s="4" t="s">
        <v>107</v>
      </c>
      <c r="K87" s="9" t="s">
        <v>107</v>
      </c>
      <c r="L87" s="10" t="s">
        <v>107</v>
      </c>
      <c r="M87" s="10" t="s">
        <v>156</v>
      </c>
      <c r="N87" s="9" t="s">
        <v>189</v>
      </c>
      <c r="O87" s="9" t="s">
        <v>190</v>
      </c>
      <c r="P87" s="9" t="s">
        <v>157</v>
      </c>
      <c r="Q87" s="9" t="s">
        <v>597</v>
      </c>
      <c r="R87" s="9" t="s">
        <v>595</v>
      </c>
      <c r="S87" s="9" t="s">
        <v>596</v>
      </c>
      <c r="T87" s="34" t="str">
        <f t="array" ref="T87">INDEX(Gazetteer!$T$3:$T$9941,MATCH(1,(Q87=Gazetteer!$C$3:$C$9941)*(R87=Gazetteer!$D$3:$D$9941)*(S87=Gazetteer!$E$3:$E$9941),0))</f>
        <v>21º06.60′S</v>
      </c>
      <c r="U87" s="34" t="str">
        <f t="array" ref="U87">INDEX(Gazetteer!$U$3:$U$9941,MATCH(1,(Q87=Gazetteer!$C$3:$C$9941)*(R87=Gazetteer!$D$3:$D$9941)*(S87=Gazetteer!$E$3:$E$9941),0))</f>
        <v>055º15.58′E</v>
      </c>
      <c r="V87" s="34">
        <f>INDEX(Ref!C:C,MATCH(W87,Ref!B:B,0))</f>
        <v>2014</v>
      </c>
      <c r="W87" s="37" t="s">
        <v>1210</v>
      </c>
      <c r="X87" s="5">
        <v>103</v>
      </c>
      <c r="Y87" s="11" t="s">
        <v>107</v>
      </c>
      <c r="Z87" s="5" t="s">
        <v>107</v>
      </c>
      <c r="AA87" t="s">
        <v>107</v>
      </c>
    </row>
    <row r="88" spans="1:27" x14ac:dyDescent="0.2">
      <c r="A88" s="5">
        <v>364</v>
      </c>
      <c r="B88" s="29" t="s">
        <v>874</v>
      </c>
      <c r="C88" s="29" t="s">
        <v>118</v>
      </c>
      <c r="D88" s="29" t="s">
        <v>119</v>
      </c>
      <c r="E88" s="30" t="s">
        <v>89</v>
      </c>
      <c r="F88" s="4" t="s">
        <v>961</v>
      </c>
      <c r="G88" s="29" t="s">
        <v>996</v>
      </c>
      <c r="H88" s="4" t="s">
        <v>107</v>
      </c>
      <c r="I88" t="s">
        <v>150</v>
      </c>
      <c r="J88" s="4" t="s">
        <v>107</v>
      </c>
      <c r="K88" s="9" t="s">
        <v>107</v>
      </c>
      <c r="L88" s="10" t="s">
        <v>107</v>
      </c>
      <c r="M88" s="10" t="s">
        <v>156</v>
      </c>
      <c r="N88" s="9" t="s">
        <v>107</v>
      </c>
      <c r="O88" s="9" t="s">
        <v>107</v>
      </c>
      <c r="P88" s="9" t="s">
        <v>107</v>
      </c>
      <c r="Q88" s="9" t="s">
        <v>250</v>
      </c>
      <c r="R88" s="9" t="s">
        <v>107</v>
      </c>
      <c r="S88" s="9" t="s">
        <v>107</v>
      </c>
      <c r="T88" s="34" t="str">
        <f t="array" ref="T88">INDEX(Gazetteer!$T$3:$T$9941,MATCH(1,(Q88=Gazetteer!$C$3:$C$9941)*(R88=Gazetteer!$D$3:$D$9941)*(S88=Gazetteer!$E$3:$E$9941),0))</f>
        <v>-</v>
      </c>
      <c r="U88" s="34" t="str">
        <f t="array" ref="U88">INDEX(Gazetteer!$U$3:$U$9941,MATCH(1,(Q88=Gazetteer!$C$3:$C$9941)*(R88=Gazetteer!$D$3:$D$9941)*(S88=Gazetteer!$E$3:$E$9941),0))</f>
        <v>-</v>
      </c>
      <c r="V88" s="34">
        <f>INDEX(Ref!C:C,MATCH(W88,Ref!B:B,0))</f>
        <v>2017</v>
      </c>
      <c r="W88" s="36" t="s">
        <v>1165</v>
      </c>
      <c r="X88" s="5" t="s">
        <v>957</v>
      </c>
      <c r="Y88" s="11" t="s">
        <v>107</v>
      </c>
      <c r="Z88" s="5" t="s">
        <v>107</v>
      </c>
      <c r="AA88" t="s">
        <v>107</v>
      </c>
    </row>
    <row r="89" spans="1:27" x14ac:dyDescent="0.2">
      <c r="A89" s="5">
        <v>163</v>
      </c>
      <c r="B89" s="29" t="s">
        <v>874</v>
      </c>
      <c r="C89" s="29" t="s">
        <v>118</v>
      </c>
      <c r="D89" s="29" t="s">
        <v>119</v>
      </c>
      <c r="E89" s="30" t="s">
        <v>90</v>
      </c>
      <c r="F89" s="4" t="s">
        <v>44</v>
      </c>
      <c r="G89" s="29" t="s">
        <v>875</v>
      </c>
      <c r="H89" s="4" t="s">
        <v>107</v>
      </c>
      <c r="I89" t="s">
        <v>150</v>
      </c>
      <c r="J89" s="8" t="s">
        <v>107</v>
      </c>
      <c r="K89" s="9" t="s">
        <v>107</v>
      </c>
      <c r="L89" s="10" t="s">
        <v>107</v>
      </c>
      <c r="M89" s="10" t="s">
        <v>107</v>
      </c>
      <c r="N89" s="9" t="s">
        <v>107</v>
      </c>
      <c r="O89" s="9" t="s">
        <v>107</v>
      </c>
      <c r="P89" s="9" t="s">
        <v>178</v>
      </c>
      <c r="Q89" s="9" t="s">
        <v>135</v>
      </c>
      <c r="R89" s="9" t="s">
        <v>579</v>
      </c>
      <c r="S89" s="9" t="s">
        <v>605</v>
      </c>
      <c r="T89" s="34" t="str">
        <f t="array" ref="T89">INDEX(Gazetteer!$T$3:$T$9941,MATCH(1,(Q89=Gazetteer!$C$3:$C$9941)*(R89=Gazetteer!$D$3:$D$9941)*(S89=Gazetteer!$E$3:$E$9941),0))</f>
        <v>32º56.62′S</v>
      </c>
      <c r="U89" s="34" t="str">
        <f t="array" ref="U89">INDEX(Gazetteer!$U$3:$U$9941,MATCH(1,(Q89=Gazetteer!$C$3:$C$9941)*(R89=Gazetteer!$D$3:$D$9941)*(S89=Gazetteer!$E$3:$E$9941),0))</f>
        <v>060º39.04′W</v>
      </c>
      <c r="V89" s="34">
        <f>INDEX(Ref!C:C,MATCH(W89,Ref!B:B,0))</f>
        <v>2015</v>
      </c>
      <c r="W89" s="39" t="s">
        <v>1211</v>
      </c>
      <c r="X89" s="5">
        <v>1314</v>
      </c>
      <c r="Y89" s="11" t="s">
        <v>107</v>
      </c>
      <c r="Z89" s="5" t="s">
        <v>107</v>
      </c>
      <c r="AA89" t="s">
        <v>107</v>
      </c>
    </row>
    <row r="90" spans="1:27" x14ac:dyDescent="0.2">
      <c r="A90" s="5">
        <v>140</v>
      </c>
      <c r="B90" s="29" t="s">
        <v>874</v>
      </c>
      <c r="C90" s="29" t="s">
        <v>118</v>
      </c>
      <c r="D90" s="29" t="s">
        <v>119</v>
      </c>
      <c r="E90" s="30" t="s">
        <v>90</v>
      </c>
      <c r="F90" s="4" t="s">
        <v>44</v>
      </c>
      <c r="G90" s="29" t="s">
        <v>875</v>
      </c>
      <c r="H90" s="4" t="s">
        <v>107</v>
      </c>
      <c r="I90" t="s">
        <v>150</v>
      </c>
      <c r="J90" s="4" t="s">
        <v>107</v>
      </c>
      <c r="K90" s="9" t="s">
        <v>107</v>
      </c>
      <c r="L90" s="10" t="s">
        <v>107</v>
      </c>
      <c r="M90" s="10" t="s">
        <v>107</v>
      </c>
      <c r="N90" s="9" t="s">
        <v>107</v>
      </c>
      <c r="O90" s="9" t="s">
        <v>107</v>
      </c>
      <c r="P90" s="9" t="s">
        <v>157</v>
      </c>
      <c r="Q90" s="9" t="s">
        <v>433</v>
      </c>
      <c r="R90" s="9" t="s">
        <v>444</v>
      </c>
      <c r="S90" s="9" t="s">
        <v>547</v>
      </c>
      <c r="T90" s="34" t="str">
        <f t="array" ref="T90">INDEX(Gazetteer!$T$3:$T$9941,MATCH(1,(Q90=Gazetteer!$C$3:$C$9941)*(R90=Gazetteer!$D$3:$D$9941)*(S90=Gazetteer!$E$3:$E$9941),0))</f>
        <v>34º51.72′N</v>
      </c>
      <c r="U90" s="34" t="str">
        <f t="array" ref="U90">INDEX(Gazetteer!$U$3:$U$9941,MATCH(1,(Q90=Gazetteer!$C$3:$C$9941)*(R90=Gazetteer!$D$3:$D$9941)*(S90=Gazetteer!$E$3:$E$9941),0))</f>
        <v>099º42.23′W</v>
      </c>
      <c r="V90" s="34">
        <f>INDEX(Ref!C:C,MATCH(W90,Ref!B:B,0))</f>
        <v>1960</v>
      </c>
      <c r="W90" s="37" t="s">
        <v>1212</v>
      </c>
      <c r="X90" s="5">
        <v>119</v>
      </c>
      <c r="Y90" s="11" t="s">
        <v>107</v>
      </c>
      <c r="Z90" s="5" t="s">
        <v>107</v>
      </c>
      <c r="AA90" t="s">
        <v>107</v>
      </c>
    </row>
    <row r="91" spans="1:27" x14ac:dyDescent="0.2">
      <c r="A91" s="5">
        <v>141</v>
      </c>
      <c r="B91" s="29" t="s">
        <v>874</v>
      </c>
      <c r="C91" s="29" t="s">
        <v>118</v>
      </c>
      <c r="D91" s="29" t="s">
        <v>119</v>
      </c>
      <c r="E91" s="30" t="s">
        <v>90</v>
      </c>
      <c r="F91" s="4" t="s">
        <v>44</v>
      </c>
      <c r="G91" s="29" t="s">
        <v>875</v>
      </c>
      <c r="H91" s="4" t="s">
        <v>107</v>
      </c>
      <c r="I91" t="s">
        <v>150</v>
      </c>
      <c r="J91" s="4" t="s">
        <v>107</v>
      </c>
      <c r="K91" s="9" t="s">
        <v>546</v>
      </c>
      <c r="L91" s="10">
        <v>2409</v>
      </c>
      <c r="M91" s="10" t="s">
        <v>107</v>
      </c>
      <c r="N91" s="9" t="s">
        <v>107</v>
      </c>
      <c r="O91" s="9" t="s">
        <v>107</v>
      </c>
      <c r="P91" s="9" t="s">
        <v>157</v>
      </c>
      <c r="Q91" s="9" t="s">
        <v>433</v>
      </c>
      <c r="R91" s="9" t="s">
        <v>444</v>
      </c>
      <c r="S91" s="9" t="s">
        <v>484</v>
      </c>
      <c r="T91" s="34" t="str">
        <f t="array" ref="T91">INDEX(Gazetteer!$T$3:$T$9941,MATCH(1,(Q91=Gazetteer!$C$3:$C$9941)*(R91=Gazetteer!$D$3:$D$9941)*(S91=Gazetteer!$E$3:$E$9941),0))</f>
        <v>36º24.53′N</v>
      </c>
      <c r="U91" s="34" t="str">
        <f t="array" ref="U91">INDEX(Gazetteer!$U$3:$U$9941,MATCH(1,(Q91=Gazetteer!$C$3:$C$9941)*(R91=Gazetteer!$D$3:$D$9941)*(S91=Gazetteer!$E$3:$E$9941),0))</f>
        <v>098º57.22′W</v>
      </c>
      <c r="V91" s="34">
        <f>INDEX(Ref!C:C,MATCH(W91,Ref!B:B,0))</f>
        <v>1960</v>
      </c>
      <c r="W91" s="37" t="s">
        <v>1212</v>
      </c>
      <c r="X91" s="5">
        <v>119</v>
      </c>
      <c r="Y91" s="11" t="s">
        <v>107</v>
      </c>
      <c r="Z91" s="5" t="s">
        <v>107</v>
      </c>
      <c r="AA91" t="s">
        <v>107</v>
      </c>
    </row>
    <row r="92" spans="1:27" x14ac:dyDescent="0.2">
      <c r="A92" s="5">
        <v>142</v>
      </c>
      <c r="B92" s="29" t="s">
        <v>874</v>
      </c>
      <c r="C92" s="29" t="s">
        <v>118</v>
      </c>
      <c r="D92" s="29" t="s">
        <v>119</v>
      </c>
      <c r="E92" s="30" t="s">
        <v>90</v>
      </c>
      <c r="F92" s="4" t="s">
        <v>44</v>
      </c>
      <c r="G92" s="29" t="s">
        <v>875</v>
      </c>
      <c r="H92" s="4" t="s">
        <v>107</v>
      </c>
      <c r="I92" t="s">
        <v>150</v>
      </c>
      <c r="J92" s="4" t="s">
        <v>107</v>
      </c>
      <c r="K92" s="9" t="s">
        <v>546</v>
      </c>
      <c r="L92" s="10">
        <v>2410</v>
      </c>
      <c r="M92" s="10" t="s">
        <v>107</v>
      </c>
      <c r="N92" s="9" t="s">
        <v>107</v>
      </c>
      <c r="O92" s="9" t="s">
        <v>107</v>
      </c>
      <c r="P92" s="9" t="s">
        <v>157</v>
      </c>
      <c r="Q92" s="9" t="s">
        <v>433</v>
      </c>
      <c r="R92" s="9" t="s">
        <v>444</v>
      </c>
      <c r="S92" s="9" t="s">
        <v>485</v>
      </c>
      <c r="T92" s="34" t="str">
        <f t="array" ref="T92">INDEX(Gazetteer!$T$3:$T$9941,MATCH(1,(Q92=Gazetteer!$C$3:$C$9941)*(R92=Gazetteer!$D$3:$D$9941)*(S92=Gazetteer!$E$3:$E$9941),0))</f>
        <v>36º42.00′N</v>
      </c>
      <c r="U92" s="34" t="str">
        <f t="array" ref="U92">INDEX(Gazetteer!$U$3:$U$9941,MATCH(1,(Q92=Gazetteer!$C$3:$C$9941)*(R92=Gazetteer!$D$3:$D$9941)*(S92=Gazetteer!$E$3:$E$9941),0))</f>
        <v>099º10.00′W</v>
      </c>
      <c r="V92" s="34">
        <f>INDEX(Ref!C:C,MATCH(W92,Ref!B:B,0))</f>
        <v>1960</v>
      </c>
      <c r="W92" s="37" t="s">
        <v>1212</v>
      </c>
      <c r="X92" s="5">
        <v>119</v>
      </c>
      <c r="Y92" s="11" t="s">
        <v>107</v>
      </c>
      <c r="Z92" s="5" t="s">
        <v>107</v>
      </c>
      <c r="AA92" t="s">
        <v>107</v>
      </c>
    </row>
    <row r="93" spans="1:27" x14ac:dyDescent="0.2">
      <c r="A93" s="5">
        <v>143</v>
      </c>
      <c r="B93" s="29" t="s">
        <v>874</v>
      </c>
      <c r="C93" s="29" t="s">
        <v>118</v>
      </c>
      <c r="D93" s="29" t="s">
        <v>119</v>
      </c>
      <c r="E93" s="30" t="s">
        <v>90</v>
      </c>
      <c r="F93" s="4" t="s">
        <v>44</v>
      </c>
      <c r="G93" s="29" t="s">
        <v>875</v>
      </c>
      <c r="H93" s="4" t="s">
        <v>107</v>
      </c>
      <c r="I93" t="s">
        <v>150</v>
      </c>
      <c r="J93" s="4" t="s">
        <v>107</v>
      </c>
      <c r="K93" s="9" t="s">
        <v>546</v>
      </c>
      <c r="L93" s="10">
        <v>3283</v>
      </c>
      <c r="M93" s="10" t="s">
        <v>130</v>
      </c>
      <c r="N93" s="9" t="s">
        <v>177</v>
      </c>
      <c r="O93" s="9" t="s">
        <v>107</v>
      </c>
      <c r="P93" s="9" t="s">
        <v>157</v>
      </c>
      <c r="Q93" s="9" t="s">
        <v>433</v>
      </c>
      <c r="R93" s="9" t="s">
        <v>444</v>
      </c>
      <c r="S93" s="9" t="s">
        <v>548</v>
      </c>
      <c r="T93" s="34" t="str">
        <f t="array" ref="T93">INDEX(Gazetteer!$T$3:$T$9941,MATCH(1,(Q93=Gazetteer!$C$3:$C$9941)*(R93=Gazetteer!$D$3:$D$9941)*(S93=Gazetteer!$E$3:$E$9941),0))</f>
        <v>36º59.57′N</v>
      </c>
      <c r="U93" s="34" t="str">
        <f t="array" ref="U93">INDEX(Gazetteer!$U$3:$U$9941,MATCH(1,(Q93=Gazetteer!$C$3:$C$9941)*(R93=Gazetteer!$D$3:$D$9941)*(S93=Gazetteer!$E$3:$E$9941),0))</f>
        <v>099º03.55′W</v>
      </c>
      <c r="V93" s="34">
        <f>INDEX(Ref!C:C,MATCH(W93,Ref!B:B,0))</f>
        <v>1960</v>
      </c>
      <c r="W93" s="37" t="s">
        <v>1212</v>
      </c>
      <c r="X93" s="5">
        <v>119</v>
      </c>
      <c r="Y93" s="11" t="s">
        <v>107</v>
      </c>
      <c r="Z93" s="5" t="s">
        <v>107</v>
      </c>
      <c r="AA93" t="s">
        <v>107</v>
      </c>
    </row>
    <row r="94" spans="1:27" x14ac:dyDescent="0.2">
      <c r="A94" s="5">
        <v>144</v>
      </c>
      <c r="B94" s="29" t="s">
        <v>874</v>
      </c>
      <c r="C94" s="29" t="s">
        <v>118</v>
      </c>
      <c r="D94" s="29" t="s">
        <v>119</v>
      </c>
      <c r="E94" s="30" t="s">
        <v>90</v>
      </c>
      <c r="F94" s="4" t="s">
        <v>44</v>
      </c>
      <c r="G94" s="29" t="s">
        <v>875</v>
      </c>
      <c r="H94" s="4" t="s">
        <v>107</v>
      </c>
      <c r="I94" t="s">
        <v>150</v>
      </c>
      <c r="J94" s="4" t="s">
        <v>107</v>
      </c>
      <c r="K94" s="9" t="s">
        <v>546</v>
      </c>
      <c r="L94" s="10">
        <v>3637</v>
      </c>
      <c r="M94" s="10" t="s">
        <v>156</v>
      </c>
      <c r="N94" s="9" t="s">
        <v>177</v>
      </c>
      <c r="O94" s="9" t="s">
        <v>107</v>
      </c>
      <c r="P94" s="9" t="s">
        <v>157</v>
      </c>
      <c r="Q94" s="9" t="s">
        <v>433</v>
      </c>
      <c r="R94" s="9" t="s">
        <v>444</v>
      </c>
      <c r="S94" s="9" t="s">
        <v>446</v>
      </c>
      <c r="T94" s="34" t="str">
        <f t="array" ref="T94">INDEX(Gazetteer!$T$3:$T$9941,MATCH(1,(Q94=Gazetteer!$C$3:$C$9941)*(R94=Gazetteer!$D$3:$D$9941)*(S94=Gazetteer!$E$3:$E$9941),0))</f>
        <v>36º41.92′N</v>
      </c>
      <c r="U94" s="34" t="str">
        <f t="array" ref="U94">INDEX(Gazetteer!$U$3:$U$9941,MATCH(1,(Q94=Gazetteer!$C$3:$C$9941)*(R94=Gazetteer!$D$3:$D$9941)*(S94=Gazetteer!$E$3:$E$9941),0))</f>
        <v>099º08.77′W</v>
      </c>
      <c r="V94" s="34">
        <f>INDEX(Ref!C:C,MATCH(W94,Ref!B:B,0))</f>
        <v>1960</v>
      </c>
      <c r="W94" s="37" t="s">
        <v>1212</v>
      </c>
      <c r="X94" s="5">
        <v>119</v>
      </c>
      <c r="Y94" s="11" t="s">
        <v>107</v>
      </c>
      <c r="Z94" s="5" t="s">
        <v>107</v>
      </c>
      <c r="AA94" t="s">
        <v>107</v>
      </c>
    </row>
    <row r="95" spans="1:27" x14ac:dyDescent="0.2">
      <c r="A95" s="5">
        <v>121</v>
      </c>
      <c r="B95" s="29" t="s">
        <v>874</v>
      </c>
      <c r="C95" s="29" t="s">
        <v>118</v>
      </c>
      <c r="D95" s="29" t="s">
        <v>119</v>
      </c>
      <c r="E95" s="30" t="s">
        <v>90</v>
      </c>
      <c r="F95" s="4" t="s">
        <v>44</v>
      </c>
      <c r="G95" s="29" t="s">
        <v>875</v>
      </c>
      <c r="H95" s="8" t="s">
        <v>507</v>
      </c>
      <c r="I95" t="s">
        <v>150</v>
      </c>
      <c r="J95" s="4" t="s">
        <v>107</v>
      </c>
      <c r="K95" s="9" t="s">
        <v>107</v>
      </c>
      <c r="L95" s="10" t="s">
        <v>107</v>
      </c>
      <c r="M95" s="10" t="s">
        <v>156</v>
      </c>
      <c r="N95" s="9" t="s">
        <v>177</v>
      </c>
      <c r="O95" s="9" t="s">
        <v>107</v>
      </c>
      <c r="P95" s="9" t="s">
        <v>157</v>
      </c>
      <c r="Q95" s="9" t="s">
        <v>433</v>
      </c>
      <c r="R95" s="9" t="s">
        <v>508</v>
      </c>
      <c r="S95" s="9" t="s">
        <v>509</v>
      </c>
      <c r="T95" s="34" t="str">
        <f t="array" ref="T95">INDEX(Gazetteer!$T$3:$T$9941,MATCH(1,(Q95=Gazetteer!$C$3:$C$9941)*(R95=Gazetteer!$D$3:$D$9941)*(S95=Gazetteer!$E$3:$E$9941),0))</f>
        <v>30º34.07′N</v>
      </c>
      <c r="U95" s="34" t="str">
        <f t="array" ref="U95">INDEX(Gazetteer!$U$3:$U$9941,MATCH(1,(Q95=Gazetteer!$C$3:$C$9941)*(R95=Gazetteer!$D$3:$D$9941)*(S95=Gazetteer!$E$3:$E$9941),0))</f>
        <v>099º19.83′W</v>
      </c>
      <c r="V95" s="34">
        <f>INDEX(Ref!C:C,MATCH(W95,Ref!B:B,0))</f>
        <v>1960</v>
      </c>
      <c r="W95" s="37" t="s">
        <v>1213</v>
      </c>
      <c r="X95" s="5">
        <v>118</v>
      </c>
      <c r="Y95" s="11" t="s">
        <v>107</v>
      </c>
      <c r="Z95" s="5" t="s">
        <v>107</v>
      </c>
      <c r="AA95" t="s">
        <v>107</v>
      </c>
    </row>
    <row r="96" spans="1:27" x14ac:dyDescent="0.2">
      <c r="A96" s="5">
        <v>321</v>
      </c>
      <c r="B96" s="29" t="s">
        <v>874</v>
      </c>
      <c r="C96" s="29" t="s">
        <v>120</v>
      </c>
      <c r="D96" s="29" t="s">
        <v>107</v>
      </c>
      <c r="E96" s="30" t="s">
        <v>91</v>
      </c>
      <c r="F96" s="4" t="s">
        <v>455</v>
      </c>
      <c r="G96" s="29" t="s">
        <v>698</v>
      </c>
      <c r="H96" s="4" t="s">
        <v>107</v>
      </c>
      <c r="I96" t="s">
        <v>150</v>
      </c>
      <c r="J96" s="4" t="s">
        <v>107</v>
      </c>
      <c r="K96" s="9" t="s">
        <v>107</v>
      </c>
      <c r="L96" s="10" t="s">
        <v>107</v>
      </c>
      <c r="M96" s="10" t="s">
        <v>107</v>
      </c>
      <c r="N96" s="9" t="s">
        <v>107</v>
      </c>
      <c r="O96" s="9" t="s">
        <v>107</v>
      </c>
      <c r="P96" s="9" t="s">
        <v>107</v>
      </c>
      <c r="Q96" s="9" t="s">
        <v>250</v>
      </c>
      <c r="R96" s="9" t="s">
        <v>107</v>
      </c>
      <c r="S96" s="9" t="s">
        <v>107</v>
      </c>
      <c r="T96" s="34" t="str">
        <f t="array" ref="T96">INDEX(Gazetteer!$T$3:$T$9941,MATCH(1,(Q96=Gazetteer!$C$3:$C$9941)*(R96=Gazetteer!$D$3:$D$9941)*(S96=Gazetteer!$E$3:$E$9941),0))</f>
        <v>-</v>
      </c>
      <c r="U96" s="34" t="str">
        <f t="array" ref="U96">INDEX(Gazetteer!$U$3:$U$9941,MATCH(1,(Q96=Gazetteer!$C$3:$C$9941)*(R96=Gazetteer!$D$3:$D$9941)*(S96=Gazetteer!$E$3:$E$9941),0))</f>
        <v>-</v>
      </c>
      <c r="V96" s="34">
        <f>INDEX(Ref!C:C,MATCH(W96,Ref!B:B,0))</f>
        <v>2000</v>
      </c>
      <c r="W96" s="36" t="s">
        <v>1169</v>
      </c>
      <c r="X96" s="5">
        <v>101</v>
      </c>
      <c r="Y96" s="11" t="s">
        <v>914</v>
      </c>
      <c r="Z96" s="5" t="s">
        <v>107</v>
      </c>
      <c r="AA96" t="s">
        <v>107</v>
      </c>
    </row>
    <row r="97" spans="1:27" x14ac:dyDescent="0.2">
      <c r="A97" s="5">
        <v>328</v>
      </c>
      <c r="B97" s="29" t="s">
        <v>874</v>
      </c>
      <c r="C97" s="29" t="s">
        <v>120</v>
      </c>
      <c r="D97" s="29" t="s">
        <v>107</v>
      </c>
      <c r="E97" s="30" t="s">
        <v>91</v>
      </c>
      <c r="F97" s="4" t="s">
        <v>455</v>
      </c>
      <c r="G97" s="29" t="s">
        <v>698</v>
      </c>
      <c r="H97" s="4" t="s">
        <v>107</v>
      </c>
      <c r="I97" t="s">
        <v>150</v>
      </c>
      <c r="J97" s="4" t="s">
        <v>107</v>
      </c>
      <c r="K97" s="9" t="s">
        <v>107</v>
      </c>
      <c r="L97" s="10" t="s">
        <v>107</v>
      </c>
      <c r="M97" s="10" t="s">
        <v>156</v>
      </c>
      <c r="N97" s="9" t="s">
        <v>107</v>
      </c>
      <c r="O97" s="9" t="s">
        <v>107</v>
      </c>
      <c r="P97" s="9" t="s">
        <v>157</v>
      </c>
      <c r="Q97" s="9" t="s">
        <v>250</v>
      </c>
      <c r="R97" s="9" t="s">
        <v>512</v>
      </c>
      <c r="S97" s="9" t="s">
        <v>932</v>
      </c>
      <c r="T97" s="34" t="str">
        <f t="array" ref="T97">INDEX(Gazetteer!$T$3:$T$9941,MATCH(1,(Q97=Gazetteer!$C$3:$C$9941)*(R97=Gazetteer!$D$3:$D$9941)*(S97=Gazetteer!$E$3:$E$9941),0))</f>
        <v>38º20.00′S</v>
      </c>
      <c r="U97" s="34" t="str">
        <f t="array" ref="U97">INDEX(Gazetteer!$U$3:$U$9941,MATCH(1,(Q97=Gazetteer!$C$3:$C$9941)*(R97=Gazetteer!$D$3:$D$9941)*(S97=Gazetteer!$E$3:$E$9941),0))</f>
        <v>142º44.00′E</v>
      </c>
      <c r="V97" s="34">
        <f>INDEX(Ref!C:C,MATCH(W97,Ref!B:B,0))</f>
        <v>1968</v>
      </c>
      <c r="W97" s="36" t="s">
        <v>1214</v>
      </c>
      <c r="X97" s="5">
        <v>358</v>
      </c>
      <c r="Y97" s="11" t="s">
        <v>107</v>
      </c>
      <c r="Z97" s="5" t="s">
        <v>107</v>
      </c>
      <c r="AA97" t="s">
        <v>107</v>
      </c>
    </row>
    <row r="98" spans="1:27" x14ac:dyDescent="0.2">
      <c r="A98" s="5">
        <v>248</v>
      </c>
      <c r="B98" s="29" t="s">
        <v>874</v>
      </c>
      <c r="C98" s="29" t="s">
        <v>120</v>
      </c>
      <c r="D98" s="29" t="s">
        <v>107</v>
      </c>
      <c r="E98" s="30" t="s">
        <v>91</v>
      </c>
      <c r="F98" s="4" t="s">
        <v>455</v>
      </c>
      <c r="G98" s="29" t="s">
        <v>698</v>
      </c>
      <c r="H98" s="4" t="s">
        <v>107</v>
      </c>
      <c r="I98" t="s">
        <v>150</v>
      </c>
      <c r="J98" s="4" t="s">
        <v>107</v>
      </c>
      <c r="K98" s="9" t="s">
        <v>107</v>
      </c>
      <c r="L98" s="10" t="s">
        <v>107</v>
      </c>
      <c r="M98" s="10" t="s">
        <v>107</v>
      </c>
      <c r="N98" s="9" t="s">
        <v>107</v>
      </c>
      <c r="O98" s="9" t="s">
        <v>107</v>
      </c>
      <c r="P98" s="9" t="s">
        <v>107</v>
      </c>
      <c r="Q98" s="9" t="s">
        <v>456</v>
      </c>
      <c r="R98" s="9" t="s">
        <v>778</v>
      </c>
      <c r="S98" s="9" t="s">
        <v>779</v>
      </c>
      <c r="T98" s="34" t="str">
        <f t="array" ref="T98">INDEX(Gazetteer!$T$3:$T$9941,MATCH(1,(Q98=Gazetteer!$C$3:$C$9941)*(R98=Gazetteer!$D$3:$D$9941)*(S98=Gazetteer!$E$3:$E$9941),0))</f>
        <v>-</v>
      </c>
      <c r="U98" s="34" t="str">
        <f t="array" ref="U98">INDEX(Gazetteer!$U$3:$U$9941,MATCH(1,(Q98=Gazetteer!$C$3:$C$9941)*(R98=Gazetteer!$D$3:$D$9941)*(S98=Gazetteer!$E$3:$E$9941),0))</f>
        <v>-</v>
      </c>
      <c r="V98" s="34">
        <f>INDEX(Ref!C:C,MATCH(W98,Ref!B:B,0))</f>
        <v>2005</v>
      </c>
      <c r="W98" s="38" t="s">
        <v>1167</v>
      </c>
      <c r="X98" s="5">
        <v>25</v>
      </c>
      <c r="Y98" s="11" t="s">
        <v>107</v>
      </c>
      <c r="Z98" s="5" t="s">
        <v>107</v>
      </c>
      <c r="AA98" t="s">
        <v>107</v>
      </c>
    </row>
    <row r="99" spans="1:27" x14ac:dyDescent="0.2">
      <c r="A99" s="5">
        <v>322</v>
      </c>
      <c r="B99" s="29" t="s">
        <v>874</v>
      </c>
      <c r="C99" s="29" t="s">
        <v>120</v>
      </c>
      <c r="D99" s="29" t="s">
        <v>107</v>
      </c>
      <c r="E99" s="30" t="s">
        <v>91</v>
      </c>
      <c r="F99" s="4" t="s">
        <v>455</v>
      </c>
      <c r="G99" s="29" t="s">
        <v>698</v>
      </c>
      <c r="H99" s="4" t="s">
        <v>107</v>
      </c>
      <c r="I99" t="s">
        <v>150</v>
      </c>
      <c r="J99" s="4" t="s">
        <v>107</v>
      </c>
      <c r="K99" s="9" t="s">
        <v>107</v>
      </c>
      <c r="L99" s="10" t="s">
        <v>107</v>
      </c>
      <c r="M99" s="10" t="s">
        <v>130</v>
      </c>
      <c r="N99" s="9" t="s">
        <v>107</v>
      </c>
      <c r="O99" s="9" t="s">
        <v>107</v>
      </c>
      <c r="P99" s="9" t="s">
        <v>157</v>
      </c>
      <c r="Q99" s="9" t="s">
        <v>164</v>
      </c>
      <c r="R99" s="9" t="s">
        <v>107</v>
      </c>
      <c r="S99" s="9" t="s">
        <v>107</v>
      </c>
      <c r="T99" s="34" t="str">
        <f t="array" ref="T99">INDEX(Gazetteer!$T$3:$T$9941,MATCH(1,(Q99=Gazetteer!$C$3:$C$9941)*(R99=Gazetteer!$D$3:$D$9941)*(S99=Gazetteer!$E$3:$E$9941),0))</f>
        <v>-</v>
      </c>
      <c r="U99" s="34" t="str">
        <f t="array" ref="U99">INDEX(Gazetteer!$U$3:$U$9941,MATCH(1,(Q99=Gazetteer!$C$3:$C$9941)*(R99=Gazetteer!$D$3:$D$9941)*(S99=Gazetteer!$E$3:$E$9941),0))</f>
        <v>-</v>
      </c>
      <c r="V99" s="34">
        <f>INDEX(Ref!C:C,MATCH(W99,Ref!B:B,0))</f>
        <v>2000</v>
      </c>
      <c r="W99" s="36" t="s">
        <v>1169</v>
      </c>
      <c r="X99" s="5">
        <v>101</v>
      </c>
      <c r="Y99" s="11" t="s">
        <v>915</v>
      </c>
      <c r="Z99" s="5" t="s">
        <v>107</v>
      </c>
      <c r="AA99" t="s">
        <v>107</v>
      </c>
    </row>
    <row r="100" spans="1:27" x14ac:dyDescent="0.2">
      <c r="A100" s="5">
        <v>181</v>
      </c>
      <c r="B100" s="29" t="s">
        <v>874</v>
      </c>
      <c r="C100" s="29" t="s">
        <v>121</v>
      </c>
      <c r="D100" s="29" t="s">
        <v>122</v>
      </c>
      <c r="E100" s="30" t="s">
        <v>97</v>
      </c>
      <c r="F100" s="4" t="s">
        <v>53</v>
      </c>
      <c r="G100" s="29" t="s">
        <v>703</v>
      </c>
      <c r="H100" s="4" t="s">
        <v>621</v>
      </c>
      <c r="I100" t="s">
        <v>150</v>
      </c>
      <c r="J100" s="4" t="s">
        <v>107</v>
      </c>
      <c r="K100" s="9" t="s">
        <v>352</v>
      </c>
      <c r="L100" s="10">
        <v>265560</v>
      </c>
      <c r="M100" s="10" t="s">
        <v>107</v>
      </c>
      <c r="N100" s="9" t="s">
        <v>107</v>
      </c>
      <c r="O100" s="9" t="s">
        <v>107</v>
      </c>
      <c r="P100" s="9" t="s">
        <v>107</v>
      </c>
      <c r="Q100" s="9" t="s">
        <v>433</v>
      </c>
      <c r="R100" s="9" t="s">
        <v>622</v>
      </c>
      <c r="S100" s="9" t="s">
        <v>623</v>
      </c>
      <c r="T100" s="34" t="str">
        <f t="array" ref="T100">INDEX(Gazetteer!$T$3:$T$9941,MATCH(1,(Q100=Gazetteer!$C$3:$C$9941)*(R100=Gazetteer!$D$3:$D$9941)*(S100=Gazetteer!$E$3:$E$9941),0))</f>
        <v>36º26.35′N</v>
      </c>
      <c r="U100" s="34" t="str">
        <f t="array" ref="U100">INDEX(Gazetteer!$U$3:$U$9941,MATCH(1,(Q100=Gazetteer!$C$3:$C$9941)*(R100=Gazetteer!$D$3:$D$9941)*(S100=Gazetteer!$E$3:$E$9941),0))</f>
        <v>115º21.70′W</v>
      </c>
      <c r="V100" s="34">
        <f>INDEX(Ref!C:C,MATCH(W100,Ref!B:B,0))</f>
        <v>1950</v>
      </c>
      <c r="W100" s="37" t="s">
        <v>1193</v>
      </c>
      <c r="X100" s="5">
        <v>350</v>
      </c>
      <c r="Y100" s="11" t="s">
        <v>107</v>
      </c>
      <c r="Z100" s="5" t="s">
        <v>107</v>
      </c>
      <c r="AA100" t="s">
        <v>107</v>
      </c>
    </row>
    <row r="101" spans="1:27" x14ac:dyDescent="0.2">
      <c r="A101" s="5">
        <v>156</v>
      </c>
      <c r="B101" s="29" t="s">
        <v>874</v>
      </c>
      <c r="C101" s="29" t="s">
        <v>121</v>
      </c>
      <c r="D101" s="29" t="s">
        <v>122</v>
      </c>
      <c r="E101" s="30" t="s">
        <v>92</v>
      </c>
      <c r="F101" s="4" t="s">
        <v>45</v>
      </c>
      <c r="G101" s="29" t="s">
        <v>699</v>
      </c>
      <c r="H101" s="4" t="s">
        <v>107</v>
      </c>
      <c r="I101" t="s">
        <v>150</v>
      </c>
      <c r="J101" s="4" t="s">
        <v>107</v>
      </c>
      <c r="K101" s="9" t="s">
        <v>578</v>
      </c>
      <c r="L101" s="10">
        <v>1078</v>
      </c>
      <c r="M101" s="10" t="s">
        <v>156</v>
      </c>
      <c r="N101" s="9" t="s">
        <v>107</v>
      </c>
      <c r="O101" s="9" t="s">
        <v>107</v>
      </c>
      <c r="P101" s="9" t="s">
        <v>184</v>
      </c>
      <c r="Q101" s="9" t="s">
        <v>135</v>
      </c>
      <c r="R101" s="9" t="s">
        <v>579</v>
      </c>
      <c r="S101" s="9" t="s">
        <v>580</v>
      </c>
      <c r="T101" s="34" t="str">
        <f t="array" ref="T101">INDEX(Gazetteer!$T$3:$T$9941,MATCH(1,(Q101=Gazetteer!$C$3:$C$9941)*(R101=Gazetteer!$D$3:$D$9941)*(S101=Gazetteer!$E$3:$E$9941),0))</f>
        <v>31º26.97′S</v>
      </c>
      <c r="U101" s="34" t="str">
        <f t="array" ref="U101">INDEX(Gazetteer!$U$3:$U$9941,MATCH(1,(Q101=Gazetteer!$C$3:$C$9941)*(R101=Gazetteer!$D$3:$D$9941)*(S101=Gazetteer!$E$3:$E$9941),0))</f>
        <v>060º55.85′W</v>
      </c>
      <c r="V101" s="34">
        <f>INDEX(Ref!C:C,MATCH(W101,Ref!B:B,0))</f>
        <v>2009</v>
      </c>
      <c r="W101" s="37" t="s">
        <v>1215</v>
      </c>
      <c r="X101" s="5">
        <v>98</v>
      </c>
      <c r="Y101" s="11" t="s">
        <v>107</v>
      </c>
      <c r="Z101" s="5" t="s">
        <v>107</v>
      </c>
      <c r="AA101" t="s">
        <v>107</v>
      </c>
    </row>
    <row r="102" spans="1:27" x14ac:dyDescent="0.2">
      <c r="A102" s="5">
        <v>511</v>
      </c>
      <c r="B102" s="29" t="s">
        <v>874</v>
      </c>
      <c r="C102" s="29" t="s">
        <v>121</v>
      </c>
      <c r="D102" s="29" t="s">
        <v>122</v>
      </c>
      <c r="E102" s="30" t="s">
        <v>92</v>
      </c>
      <c r="F102" s="4" t="s">
        <v>46</v>
      </c>
      <c r="G102" s="29" t="s">
        <v>700</v>
      </c>
      <c r="H102" s="4" t="s">
        <v>107</v>
      </c>
      <c r="I102" t="s">
        <v>150</v>
      </c>
      <c r="J102" s="4" t="s">
        <v>107</v>
      </c>
      <c r="K102" s="9" t="s">
        <v>107</v>
      </c>
      <c r="L102" s="10" t="s">
        <v>107</v>
      </c>
      <c r="M102" s="10" t="s">
        <v>107</v>
      </c>
      <c r="N102" s="9" t="s">
        <v>107</v>
      </c>
      <c r="O102" s="9" t="s">
        <v>107</v>
      </c>
      <c r="P102" s="9" t="s">
        <v>107</v>
      </c>
      <c r="Q102" s="9" t="s">
        <v>433</v>
      </c>
      <c r="R102" s="9" t="s">
        <v>107</v>
      </c>
      <c r="S102" s="9" t="s">
        <v>107</v>
      </c>
      <c r="T102" s="34" t="str">
        <f t="array" ref="T102">INDEX(Gazetteer!$T$3:$T$9941,MATCH(1,(Q102=Gazetteer!$C$3:$C$9941)*(R102=Gazetteer!$D$3:$D$9941)*(S102=Gazetteer!$E$3:$E$9941),0))</f>
        <v>-</v>
      </c>
      <c r="U102" s="34" t="str">
        <f t="array" ref="U102">INDEX(Gazetteer!$U$3:$U$9941,MATCH(1,(Q102=Gazetteer!$C$3:$C$9941)*(R102=Gazetteer!$D$3:$D$9941)*(S102=Gazetteer!$E$3:$E$9941),0))</f>
        <v>-</v>
      </c>
      <c r="V102" s="34">
        <f>INDEX(Ref!C:C,MATCH(W102,Ref!B:B,0))</f>
        <v>2017</v>
      </c>
      <c r="W102" s="36" t="s">
        <v>1165</v>
      </c>
      <c r="X102" s="5" t="s">
        <v>957</v>
      </c>
      <c r="Y102" s="11" t="s">
        <v>983</v>
      </c>
      <c r="Z102" s="5" t="s">
        <v>107</v>
      </c>
      <c r="AA102" t="s">
        <v>107</v>
      </c>
    </row>
    <row r="103" spans="1:27" x14ac:dyDescent="0.2">
      <c r="A103" s="5">
        <v>303</v>
      </c>
      <c r="B103" s="29" t="s">
        <v>874</v>
      </c>
      <c r="C103" s="29" t="s">
        <v>121</v>
      </c>
      <c r="D103" s="29" t="s">
        <v>122</v>
      </c>
      <c r="E103" s="30" t="s">
        <v>92</v>
      </c>
      <c r="F103" s="4" t="s">
        <v>47</v>
      </c>
      <c r="G103" s="29" t="s">
        <v>169</v>
      </c>
      <c r="H103" s="4" t="s">
        <v>107</v>
      </c>
      <c r="I103" t="s">
        <v>150</v>
      </c>
      <c r="J103" s="4" t="s">
        <v>107</v>
      </c>
      <c r="K103" s="9" t="s">
        <v>107</v>
      </c>
      <c r="L103" s="10" t="s">
        <v>107</v>
      </c>
      <c r="M103" s="10" t="s">
        <v>107</v>
      </c>
      <c r="N103" s="9" t="s">
        <v>107</v>
      </c>
      <c r="O103" s="9" t="s">
        <v>107</v>
      </c>
      <c r="P103" s="9" t="s">
        <v>107</v>
      </c>
      <c r="Q103" s="9" t="s">
        <v>904</v>
      </c>
      <c r="R103" s="9" t="s">
        <v>107</v>
      </c>
      <c r="S103" s="9" t="s">
        <v>107</v>
      </c>
      <c r="T103" s="34" t="str">
        <f t="array" ref="T103">INDEX(Gazetteer!$T$3:$T$9941,MATCH(1,(Q103=Gazetteer!$C$3:$C$9941)*(R103=Gazetteer!$D$3:$D$9941)*(S103=Gazetteer!$E$3:$E$9941),0))</f>
        <v>-</v>
      </c>
      <c r="U103" s="34" t="str">
        <f t="array" ref="U103">INDEX(Gazetteer!$U$3:$U$9941,MATCH(1,(Q103=Gazetteer!$C$3:$C$9941)*(R103=Gazetteer!$D$3:$D$9941)*(S103=Gazetteer!$E$3:$E$9941),0))</f>
        <v>-</v>
      </c>
      <c r="V103" s="34">
        <f>INDEX(Ref!C:C,MATCH(W103,Ref!B:B,0))</f>
        <v>2000</v>
      </c>
      <c r="W103" s="36" t="s">
        <v>1169</v>
      </c>
      <c r="X103" s="5">
        <v>101</v>
      </c>
      <c r="Y103" s="11" t="s">
        <v>447</v>
      </c>
      <c r="Z103" s="5" t="s">
        <v>107</v>
      </c>
      <c r="AA103" t="s">
        <v>107</v>
      </c>
    </row>
    <row r="104" spans="1:27" x14ac:dyDescent="0.2">
      <c r="A104" s="5">
        <v>513</v>
      </c>
      <c r="B104" s="29" t="s">
        <v>874</v>
      </c>
      <c r="C104" s="29" t="s">
        <v>121</v>
      </c>
      <c r="D104" s="29" t="s">
        <v>122</v>
      </c>
      <c r="E104" s="30" t="s">
        <v>92</v>
      </c>
      <c r="F104" s="4" t="s">
        <v>47</v>
      </c>
      <c r="G104" s="29" t="s">
        <v>169</v>
      </c>
      <c r="H104" s="4" t="s">
        <v>107</v>
      </c>
      <c r="I104" t="s">
        <v>150</v>
      </c>
      <c r="J104" s="4" t="s">
        <v>107</v>
      </c>
      <c r="K104" s="9" t="s">
        <v>107</v>
      </c>
      <c r="L104" s="10" t="s">
        <v>107</v>
      </c>
      <c r="M104" s="10" t="s">
        <v>107</v>
      </c>
      <c r="N104" s="9" t="s">
        <v>107</v>
      </c>
      <c r="O104" s="9" t="s">
        <v>107</v>
      </c>
      <c r="P104" s="9" t="s">
        <v>107</v>
      </c>
      <c r="Q104" s="9" t="s">
        <v>904</v>
      </c>
      <c r="R104" s="9" t="s">
        <v>107</v>
      </c>
      <c r="S104" s="9" t="s">
        <v>107</v>
      </c>
      <c r="T104" s="34" t="str">
        <f t="array" ref="T104">INDEX(Gazetteer!$T$3:$T$9941,MATCH(1,(Q104=Gazetteer!$C$3:$C$9941)*(R104=Gazetteer!$D$3:$D$9941)*(S104=Gazetteer!$E$3:$E$9941),0))</f>
        <v>-</v>
      </c>
      <c r="U104" s="34" t="str">
        <f t="array" ref="U104">INDEX(Gazetteer!$U$3:$U$9941,MATCH(1,(Q104=Gazetteer!$C$3:$C$9941)*(R104=Gazetteer!$D$3:$D$9941)*(S104=Gazetteer!$E$3:$E$9941),0))</f>
        <v>-</v>
      </c>
      <c r="V104" s="34">
        <f>INDEX(Ref!C:C,MATCH(W104,Ref!B:B,0))</f>
        <v>2017</v>
      </c>
      <c r="W104" s="36" t="s">
        <v>1165</v>
      </c>
      <c r="X104" s="5" t="s">
        <v>957</v>
      </c>
      <c r="Y104" s="11" t="s">
        <v>426</v>
      </c>
      <c r="Z104" s="5" t="s">
        <v>107</v>
      </c>
      <c r="AA104" t="s">
        <v>107</v>
      </c>
    </row>
    <row r="105" spans="1:27" x14ac:dyDescent="0.2">
      <c r="A105" s="5">
        <v>514</v>
      </c>
      <c r="B105" s="29" t="s">
        <v>874</v>
      </c>
      <c r="C105" s="29" t="s">
        <v>121</v>
      </c>
      <c r="D105" s="29" t="s">
        <v>122</v>
      </c>
      <c r="E105" s="30" t="s">
        <v>92</v>
      </c>
      <c r="F105" s="4" t="s">
        <v>47</v>
      </c>
      <c r="G105" s="29" t="s">
        <v>169</v>
      </c>
      <c r="H105" s="4" t="s">
        <v>107</v>
      </c>
      <c r="I105" t="s">
        <v>150</v>
      </c>
      <c r="J105" s="4" t="s">
        <v>107</v>
      </c>
      <c r="K105" s="9" t="s">
        <v>107</v>
      </c>
      <c r="L105" s="10" t="s">
        <v>107</v>
      </c>
      <c r="M105" s="10" t="s">
        <v>156</v>
      </c>
      <c r="N105" s="9" t="s">
        <v>107</v>
      </c>
      <c r="O105" s="9" t="s">
        <v>107</v>
      </c>
      <c r="P105" s="9" t="s">
        <v>107</v>
      </c>
      <c r="Q105" s="9" t="s">
        <v>904</v>
      </c>
      <c r="R105" s="9" t="s">
        <v>107</v>
      </c>
      <c r="S105" s="9" t="s">
        <v>107</v>
      </c>
      <c r="T105" s="34" t="str">
        <f t="array" ref="T105">INDEX(Gazetteer!$T$3:$T$9941,MATCH(1,(Q105=Gazetteer!$C$3:$C$9941)*(R105=Gazetteer!$D$3:$D$9941)*(S105=Gazetteer!$E$3:$E$9941),0))</f>
        <v>-</v>
      </c>
      <c r="U105" s="34" t="str">
        <f t="array" ref="U105">INDEX(Gazetteer!$U$3:$U$9941,MATCH(1,(Q105=Gazetteer!$C$3:$C$9941)*(R105=Gazetteer!$D$3:$D$9941)*(S105=Gazetteer!$E$3:$E$9941),0))</f>
        <v>-</v>
      </c>
      <c r="V105" s="34">
        <f>INDEX(Ref!C:C,MATCH(W105,Ref!B:B,0))</f>
        <v>2017</v>
      </c>
      <c r="W105" s="36" t="s">
        <v>1165</v>
      </c>
      <c r="X105" s="5" t="s">
        <v>957</v>
      </c>
      <c r="Y105" s="11" t="s">
        <v>984</v>
      </c>
      <c r="Z105" s="5" t="s">
        <v>107</v>
      </c>
      <c r="AA105" t="s">
        <v>107</v>
      </c>
    </row>
    <row r="106" spans="1:27" x14ac:dyDescent="0.2">
      <c r="A106" s="5">
        <v>517</v>
      </c>
      <c r="B106" s="29" t="s">
        <v>874</v>
      </c>
      <c r="C106" s="29" t="s">
        <v>121</v>
      </c>
      <c r="D106" s="29" t="s">
        <v>122</v>
      </c>
      <c r="E106" s="30" t="s">
        <v>92</v>
      </c>
      <c r="F106" s="4" t="s">
        <v>47</v>
      </c>
      <c r="G106" s="29" t="s">
        <v>169</v>
      </c>
      <c r="H106" s="4" t="s">
        <v>107</v>
      </c>
      <c r="I106" t="s">
        <v>150</v>
      </c>
      <c r="J106" s="4" t="s">
        <v>107</v>
      </c>
      <c r="K106" s="9" t="s">
        <v>107</v>
      </c>
      <c r="L106" s="10" t="s">
        <v>107</v>
      </c>
      <c r="M106" s="10" t="s">
        <v>130</v>
      </c>
      <c r="N106" s="9" t="s">
        <v>107</v>
      </c>
      <c r="O106" s="9" t="s">
        <v>107</v>
      </c>
      <c r="P106" s="9" t="s">
        <v>107</v>
      </c>
      <c r="Q106" s="9" t="s">
        <v>904</v>
      </c>
      <c r="R106" s="9" t="s">
        <v>107</v>
      </c>
      <c r="S106" s="9" t="s">
        <v>107</v>
      </c>
      <c r="T106" s="34" t="str">
        <f t="array" ref="T106">INDEX(Gazetteer!$T$3:$T$9941,MATCH(1,(Q106=Gazetteer!$C$3:$C$9941)*(R106=Gazetteer!$D$3:$D$9941)*(S106=Gazetteer!$E$3:$E$9941),0))</f>
        <v>-</v>
      </c>
      <c r="U106" s="34" t="str">
        <f t="array" ref="U106">INDEX(Gazetteer!$U$3:$U$9941,MATCH(1,(Q106=Gazetteer!$C$3:$C$9941)*(R106=Gazetteer!$D$3:$D$9941)*(S106=Gazetteer!$E$3:$E$9941),0))</f>
        <v>-</v>
      </c>
      <c r="V106" s="34">
        <f>INDEX(Ref!C:C,MATCH(W106,Ref!B:B,0))</f>
        <v>2017</v>
      </c>
      <c r="W106" s="36" t="s">
        <v>1165</v>
      </c>
      <c r="X106" s="5" t="s">
        <v>957</v>
      </c>
      <c r="Y106" s="11" t="s">
        <v>987</v>
      </c>
      <c r="Z106" s="5" t="s">
        <v>107</v>
      </c>
      <c r="AA106" t="s">
        <v>107</v>
      </c>
    </row>
    <row r="107" spans="1:27" x14ac:dyDescent="0.2">
      <c r="A107" s="5">
        <v>516</v>
      </c>
      <c r="B107" s="29" t="s">
        <v>874</v>
      </c>
      <c r="C107" s="29" t="s">
        <v>121</v>
      </c>
      <c r="D107" s="29" t="s">
        <v>122</v>
      </c>
      <c r="E107" s="30" t="s">
        <v>92</v>
      </c>
      <c r="F107" s="4" t="s">
        <v>47</v>
      </c>
      <c r="G107" s="29" t="s">
        <v>169</v>
      </c>
      <c r="H107" s="4" t="s">
        <v>107</v>
      </c>
      <c r="I107" t="s">
        <v>150</v>
      </c>
      <c r="J107" s="4" t="s">
        <v>107</v>
      </c>
      <c r="K107" s="9" t="s">
        <v>107</v>
      </c>
      <c r="L107" s="10" t="s">
        <v>107</v>
      </c>
      <c r="M107" s="10" t="s">
        <v>107</v>
      </c>
      <c r="N107" s="9" t="s">
        <v>107</v>
      </c>
      <c r="O107" s="9" t="s">
        <v>107</v>
      </c>
      <c r="P107" s="9" t="s">
        <v>107</v>
      </c>
      <c r="Q107" s="9" t="s">
        <v>979</v>
      </c>
      <c r="R107" s="9" t="s">
        <v>107</v>
      </c>
      <c r="S107" s="9" t="s">
        <v>107</v>
      </c>
      <c r="T107" s="34" t="str">
        <f t="array" ref="T107">INDEX(Gazetteer!$T$3:$T$9941,MATCH(1,(Q107=Gazetteer!$C$3:$C$9941)*(R107=Gazetteer!$D$3:$D$9941)*(S107=Gazetteer!$E$3:$E$9941),0))</f>
        <v>-</v>
      </c>
      <c r="U107" s="34" t="str">
        <f t="array" ref="U107">INDEX(Gazetteer!$U$3:$U$9941,MATCH(1,(Q107=Gazetteer!$C$3:$C$9941)*(R107=Gazetteer!$D$3:$D$9941)*(S107=Gazetteer!$E$3:$E$9941),0))</f>
        <v>-</v>
      </c>
      <c r="V107" s="34">
        <f>INDEX(Ref!C:C,MATCH(W107,Ref!B:B,0))</f>
        <v>2017</v>
      </c>
      <c r="W107" s="36" t="s">
        <v>1165</v>
      </c>
      <c r="X107" s="5" t="s">
        <v>957</v>
      </c>
      <c r="Y107" s="11" t="s">
        <v>986</v>
      </c>
      <c r="Z107" s="5" t="s">
        <v>107</v>
      </c>
      <c r="AA107" t="s">
        <v>107</v>
      </c>
    </row>
    <row r="108" spans="1:27" x14ac:dyDescent="0.2">
      <c r="A108" s="5">
        <v>518</v>
      </c>
      <c r="B108" s="29" t="s">
        <v>874</v>
      </c>
      <c r="C108" s="29" t="s">
        <v>121</v>
      </c>
      <c r="D108" s="29" t="s">
        <v>122</v>
      </c>
      <c r="E108" s="30" t="s">
        <v>92</v>
      </c>
      <c r="F108" s="4" t="s">
        <v>47</v>
      </c>
      <c r="G108" s="29" t="s">
        <v>169</v>
      </c>
      <c r="H108" s="4" t="s">
        <v>107</v>
      </c>
      <c r="I108" t="s">
        <v>150</v>
      </c>
      <c r="J108" s="4" t="s">
        <v>107</v>
      </c>
      <c r="K108" s="9" t="s">
        <v>107</v>
      </c>
      <c r="L108" s="10" t="s">
        <v>107</v>
      </c>
      <c r="M108" s="10" t="s">
        <v>130</v>
      </c>
      <c r="N108" s="9" t="s">
        <v>107</v>
      </c>
      <c r="O108" s="9" t="s">
        <v>107</v>
      </c>
      <c r="P108" s="9" t="s">
        <v>184</v>
      </c>
      <c r="Q108" s="9" t="s">
        <v>414</v>
      </c>
      <c r="R108" s="9" t="s">
        <v>107</v>
      </c>
      <c r="S108" s="9" t="s">
        <v>107</v>
      </c>
      <c r="T108" s="34" t="str">
        <f t="array" ref="T108">INDEX(Gazetteer!$T$3:$T$9941,MATCH(1,(Q108=Gazetteer!$C$3:$C$9941)*(R108=Gazetteer!$D$3:$D$9941)*(S108=Gazetteer!$E$3:$E$9941),0))</f>
        <v>-</v>
      </c>
      <c r="U108" s="34" t="str">
        <f t="array" ref="U108">INDEX(Gazetteer!$U$3:$U$9941,MATCH(1,(Q108=Gazetteer!$C$3:$C$9941)*(R108=Gazetteer!$D$3:$D$9941)*(S108=Gazetteer!$E$3:$E$9941),0))</f>
        <v>-</v>
      </c>
      <c r="V108" s="34">
        <f>INDEX(Ref!C:C,MATCH(W108,Ref!B:B,0))</f>
        <v>2017</v>
      </c>
      <c r="W108" s="36" t="s">
        <v>1165</v>
      </c>
      <c r="X108" s="5" t="s">
        <v>957</v>
      </c>
      <c r="Y108" s="11" t="s">
        <v>107</v>
      </c>
      <c r="Z108" s="5" t="s">
        <v>107</v>
      </c>
      <c r="AA108" t="s">
        <v>107</v>
      </c>
    </row>
    <row r="109" spans="1:27" x14ac:dyDescent="0.2">
      <c r="A109" s="5">
        <v>515</v>
      </c>
      <c r="B109" s="29" t="s">
        <v>874</v>
      </c>
      <c r="C109" s="29" t="s">
        <v>121</v>
      </c>
      <c r="D109" s="29" t="s">
        <v>122</v>
      </c>
      <c r="E109" s="30" t="s">
        <v>92</v>
      </c>
      <c r="F109" s="4" t="s">
        <v>47</v>
      </c>
      <c r="G109" s="29" t="s">
        <v>169</v>
      </c>
      <c r="H109" s="4" t="s">
        <v>107</v>
      </c>
      <c r="I109" t="s">
        <v>150</v>
      </c>
      <c r="J109" s="4" t="s">
        <v>107</v>
      </c>
      <c r="K109" s="9" t="s">
        <v>107</v>
      </c>
      <c r="L109" s="10" t="s">
        <v>107</v>
      </c>
      <c r="M109" s="10" t="s">
        <v>130</v>
      </c>
      <c r="N109" s="9" t="s">
        <v>107</v>
      </c>
      <c r="O109" s="9" t="s">
        <v>107</v>
      </c>
      <c r="P109" s="9" t="s">
        <v>178</v>
      </c>
      <c r="Q109" s="9" t="s">
        <v>425</v>
      </c>
      <c r="R109" s="9" t="s">
        <v>107</v>
      </c>
      <c r="S109" s="9" t="s">
        <v>107</v>
      </c>
      <c r="T109" s="34" t="str">
        <f t="array" ref="T109">INDEX(Gazetteer!$T$3:$T$9941,MATCH(1,(Q109=Gazetteer!$C$3:$C$9941)*(R109=Gazetteer!$D$3:$D$9941)*(S109=Gazetteer!$E$3:$E$9941),0))</f>
        <v>-</v>
      </c>
      <c r="U109" s="34" t="str">
        <f t="array" ref="U109">INDEX(Gazetteer!$U$3:$U$9941,MATCH(1,(Q109=Gazetteer!$C$3:$C$9941)*(R109=Gazetteer!$D$3:$D$9941)*(S109=Gazetteer!$E$3:$E$9941),0))</f>
        <v>-</v>
      </c>
      <c r="V109" s="34">
        <f>INDEX(Ref!C:C,MATCH(W109,Ref!B:B,0))</f>
        <v>2017</v>
      </c>
      <c r="W109" s="36" t="s">
        <v>1165</v>
      </c>
      <c r="X109" s="5" t="s">
        <v>957</v>
      </c>
      <c r="Y109" s="11" t="s">
        <v>985</v>
      </c>
      <c r="Z109" s="5" t="s">
        <v>107</v>
      </c>
      <c r="AA109" t="s">
        <v>107</v>
      </c>
    </row>
    <row r="110" spans="1:27" x14ac:dyDescent="0.2">
      <c r="A110" s="5">
        <v>230</v>
      </c>
      <c r="B110" s="29" t="s">
        <v>874</v>
      </c>
      <c r="C110" s="29" t="s">
        <v>121</v>
      </c>
      <c r="D110" s="29" t="s">
        <v>122</v>
      </c>
      <c r="E110" s="30" t="s">
        <v>92</v>
      </c>
      <c r="F110" s="4" t="s">
        <v>47</v>
      </c>
      <c r="G110" s="29" t="s">
        <v>169</v>
      </c>
      <c r="H110" s="4" t="s">
        <v>107</v>
      </c>
      <c r="I110" t="s">
        <v>150</v>
      </c>
      <c r="J110" s="4" t="s">
        <v>107</v>
      </c>
      <c r="K110" s="9" t="s">
        <v>107</v>
      </c>
      <c r="L110" s="10" t="s">
        <v>107</v>
      </c>
      <c r="M110" s="10" t="s">
        <v>107</v>
      </c>
      <c r="N110" s="9" t="s">
        <v>107</v>
      </c>
      <c r="O110" s="9" t="s">
        <v>107</v>
      </c>
      <c r="P110" s="9" t="s">
        <v>107</v>
      </c>
      <c r="Q110" s="8" t="s">
        <v>425</v>
      </c>
      <c r="R110" t="s">
        <v>107</v>
      </c>
      <c r="S110" t="s">
        <v>730</v>
      </c>
      <c r="T110" s="34" t="str">
        <f t="array" ref="T110">INDEX(Gazetteer!$T$3:$T$9941,MATCH(1,(Q110=Gazetteer!$C$3:$C$9941)*(R110=Gazetteer!$D$3:$D$9941)*(S110=Gazetteer!$E$3:$E$9941),0))</f>
        <v>-</v>
      </c>
      <c r="U110" s="34" t="str">
        <f t="array" ref="U110">INDEX(Gazetteer!$U$3:$U$9941,MATCH(1,(Q110=Gazetteer!$C$3:$C$9941)*(R110=Gazetteer!$D$3:$D$9941)*(S110=Gazetteer!$E$3:$E$9941),0))</f>
        <v>-</v>
      </c>
      <c r="V110" s="34">
        <f>INDEX(Ref!C:C,MATCH(W110,Ref!B:B,0))</f>
        <v>2017</v>
      </c>
      <c r="W110" s="36" t="s">
        <v>1174</v>
      </c>
      <c r="X110" s="5">
        <v>305</v>
      </c>
      <c r="Y110" s="11" t="s">
        <v>107</v>
      </c>
      <c r="Z110" s="5" t="s">
        <v>107</v>
      </c>
      <c r="AA110" t="s">
        <v>107</v>
      </c>
    </row>
    <row r="111" spans="1:27" x14ac:dyDescent="0.2">
      <c r="A111" s="5">
        <v>679</v>
      </c>
      <c r="B111" s="29" t="s">
        <v>874</v>
      </c>
      <c r="C111" s="29" t="s">
        <v>121</v>
      </c>
      <c r="D111" s="29" t="s">
        <v>122</v>
      </c>
      <c r="E111" s="30" t="s">
        <v>92</v>
      </c>
      <c r="F111" s="4" t="s">
        <v>47</v>
      </c>
      <c r="G111" s="29" t="s">
        <v>169</v>
      </c>
      <c r="H111" s="4" t="s">
        <v>624</v>
      </c>
      <c r="I111" t="s">
        <v>150</v>
      </c>
      <c r="J111" s="4" t="s">
        <v>107</v>
      </c>
      <c r="K111" s="9" t="s">
        <v>804</v>
      </c>
      <c r="L111" s="10">
        <v>468</v>
      </c>
      <c r="M111" s="10" t="s">
        <v>130</v>
      </c>
      <c r="N111" s="9" t="s">
        <v>189</v>
      </c>
      <c r="O111" s="9" t="s">
        <v>107</v>
      </c>
      <c r="P111" s="9" t="s">
        <v>184</v>
      </c>
      <c r="Q111" s="9" t="s">
        <v>625</v>
      </c>
      <c r="R111" s="9" t="s">
        <v>626</v>
      </c>
      <c r="S111" s="9" t="s">
        <v>630</v>
      </c>
      <c r="T111" s="34" t="str">
        <f t="array" ref="T111">INDEX(Gazetteer!$T$3:$T$9941,MATCH(1,(Q111=Gazetteer!$C$3:$C$9941)*(R111=Gazetteer!$D$3:$D$9941)*(S111=Gazetteer!$E$3:$E$9941),0))</f>
        <v>-</v>
      </c>
      <c r="U111" s="34" t="str">
        <f t="array" ref="U111">INDEX(Gazetteer!$U$3:$U$9941,MATCH(1,(Q111=Gazetteer!$C$3:$C$9941)*(R111=Gazetteer!$D$3:$D$9941)*(S111=Gazetteer!$E$3:$E$9941),0))</f>
        <v>-</v>
      </c>
      <c r="V111" s="34">
        <f>INDEX(Ref!C:C,MATCH(W111,Ref!B:B,0))</f>
        <v>2014</v>
      </c>
      <c r="W111" s="38" t="s">
        <v>1216</v>
      </c>
      <c r="X111" s="5">
        <v>292</v>
      </c>
      <c r="Y111" s="11" t="s">
        <v>107</v>
      </c>
      <c r="Z111" s="5" t="s">
        <v>107</v>
      </c>
      <c r="AA111" t="s">
        <v>107</v>
      </c>
    </row>
    <row r="112" spans="1:27" x14ac:dyDescent="0.2">
      <c r="A112" s="5">
        <v>526</v>
      </c>
      <c r="B112" s="29" t="s">
        <v>874</v>
      </c>
      <c r="C112" s="29" t="s">
        <v>121</v>
      </c>
      <c r="D112" s="29" t="s">
        <v>122</v>
      </c>
      <c r="E112" s="30" t="s">
        <v>102</v>
      </c>
      <c r="F112" s="4" t="s">
        <v>67</v>
      </c>
      <c r="G112" s="29" t="s">
        <v>701</v>
      </c>
      <c r="H112" s="4" t="s">
        <v>107</v>
      </c>
      <c r="I112" t="s">
        <v>150</v>
      </c>
      <c r="J112" s="4" t="s">
        <v>107</v>
      </c>
      <c r="K112" s="9" t="s">
        <v>107</v>
      </c>
      <c r="L112" s="10" t="s">
        <v>107</v>
      </c>
      <c r="M112" s="10" t="s">
        <v>107</v>
      </c>
      <c r="N112" s="9" t="s">
        <v>107</v>
      </c>
      <c r="O112" s="9" t="s">
        <v>107</v>
      </c>
      <c r="P112" s="9" t="s">
        <v>107</v>
      </c>
      <c r="Q112" s="9" t="s">
        <v>107</v>
      </c>
      <c r="R112" s="9" t="s">
        <v>107</v>
      </c>
      <c r="S112" s="9" t="s">
        <v>107</v>
      </c>
      <c r="T112" s="34" t="str">
        <f t="array" ref="T112">INDEX(Gazetteer!$T$3:$T$9941,MATCH(1,(Q112=Gazetteer!$C$3:$C$9941)*(R112=Gazetteer!$D$3:$D$9941)*(S112=Gazetteer!$E$3:$E$9941),0))</f>
        <v>-</v>
      </c>
      <c r="U112" s="34" t="str">
        <f t="array" ref="U112">INDEX(Gazetteer!$U$3:$U$9941,MATCH(1,(Q112=Gazetteer!$C$3:$C$9941)*(R112=Gazetteer!$D$3:$D$9941)*(S112=Gazetteer!$E$3:$E$9941),0))</f>
        <v>-</v>
      </c>
      <c r="V112" s="34">
        <f>INDEX(Ref!C:C,MATCH(W112,Ref!B:B,0))</f>
        <v>2017</v>
      </c>
      <c r="W112" s="36" t="s">
        <v>1165</v>
      </c>
      <c r="X112" s="5" t="s">
        <v>957</v>
      </c>
      <c r="Y112" s="11" t="s">
        <v>171</v>
      </c>
      <c r="Z112" s="5" t="s">
        <v>107</v>
      </c>
      <c r="AA112" t="s">
        <v>107</v>
      </c>
    </row>
    <row r="113" spans="1:27" x14ac:dyDescent="0.2">
      <c r="A113" s="5">
        <v>624</v>
      </c>
      <c r="B113" s="29" t="s">
        <v>874</v>
      </c>
      <c r="C113" s="29" t="s">
        <v>121</v>
      </c>
      <c r="D113" s="29" t="s">
        <v>122</v>
      </c>
      <c r="E113" s="30" t="s">
        <v>103</v>
      </c>
      <c r="F113" s="4" t="s">
        <v>68</v>
      </c>
      <c r="G113" s="29" t="s">
        <v>885</v>
      </c>
      <c r="H113" s="4" t="s">
        <v>107</v>
      </c>
      <c r="I113" t="s">
        <v>150</v>
      </c>
      <c r="J113" s="4" t="s">
        <v>107</v>
      </c>
      <c r="K113" s="9" t="s">
        <v>107</v>
      </c>
      <c r="L113" s="10" t="s">
        <v>107</v>
      </c>
      <c r="M113" s="10" t="s">
        <v>107</v>
      </c>
      <c r="N113" s="9" t="s">
        <v>107</v>
      </c>
      <c r="O113" s="9" t="s">
        <v>107</v>
      </c>
      <c r="P113" s="9" t="s">
        <v>107</v>
      </c>
      <c r="Q113" s="9" t="s">
        <v>170</v>
      </c>
      <c r="R113" s="9" t="s">
        <v>107</v>
      </c>
      <c r="S113" s="9" t="s">
        <v>107</v>
      </c>
      <c r="T113" s="34" t="str">
        <f t="array" ref="T113">INDEX(Gazetteer!$T$3:$T$9941,MATCH(1,(Q113=Gazetteer!$C$3:$C$9941)*(R113=Gazetteer!$D$3:$D$9941)*(S113=Gazetteer!$E$3:$E$9941),0))</f>
        <v>-</v>
      </c>
      <c r="U113" s="34" t="str">
        <f t="array" ref="U113">INDEX(Gazetteer!$U$3:$U$9941,MATCH(1,(Q113=Gazetteer!$C$3:$C$9941)*(R113=Gazetteer!$D$3:$D$9941)*(S113=Gazetteer!$E$3:$E$9941),0))</f>
        <v>-</v>
      </c>
      <c r="V113" s="34">
        <f>INDEX(Ref!C:C,MATCH(W113,Ref!B:B,0))</f>
        <v>2017</v>
      </c>
      <c r="W113" s="36" t="s">
        <v>1165</v>
      </c>
      <c r="X113" s="5" t="s">
        <v>957</v>
      </c>
      <c r="Y113" s="11" t="s">
        <v>171</v>
      </c>
      <c r="Z113" s="5" t="s">
        <v>107</v>
      </c>
      <c r="AA113" t="s">
        <v>107</v>
      </c>
    </row>
    <row r="114" spans="1:27" x14ac:dyDescent="0.2">
      <c r="A114" s="5">
        <v>316</v>
      </c>
      <c r="B114" s="29" t="s">
        <v>874</v>
      </c>
      <c r="C114" s="29" t="s">
        <v>121</v>
      </c>
      <c r="D114" s="29" t="s">
        <v>122</v>
      </c>
      <c r="E114" s="30" t="s">
        <v>94</v>
      </c>
      <c r="F114" s="4" t="s">
        <v>48</v>
      </c>
      <c r="G114" s="29" t="s">
        <v>169</v>
      </c>
      <c r="H114" s="4" t="s">
        <v>107</v>
      </c>
      <c r="I114" t="s">
        <v>150</v>
      </c>
      <c r="J114" s="4" t="s">
        <v>107</v>
      </c>
      <c r="K114" s="9" t="s">
        <v>107</v>
      </c>
      <c r="L114" s="10" t="s">
        <v>107</v>
      </c>
      <c r="M114" s="10" t="s">
        <v>107</v>
      </c>
      <c r="N114" s="9" t="s">
        <v>107</v>
      </c>
      <c r="O114" s="9" t="s">
        <v>107</v>
      </c>
      <c r="P114" s="9" t="s">
        <v>107</v>
      </c>
      <c r="Q114" s="9" t="s">
        <v>107</v>
      </c>
      <c r="R114" s="9" t="s">
        <v>107</v>
      </c>
      <c r="S114" s="9" t="s">
        <v>107</v>
      </c>
      <c r="T114" s="34" t="str">
        <f t="array" ref="T114">INDEX(Gazetteer!$T$3:$T$9941,MATCH(1,(Q114=Gazetteer!$C$3:$C$9941)*(R114=Gazetteer!$D$3:$D$9941)*(S114=Gazetteer!$E$3:$E$9941),0))</f>
        <v>-</v>
      </c>
      <c r="U114" s="34" t="str">
        <f t="array" ref="U114">INDEX(Gazetteer!$U$3:$U$9941,MATCH(1,(Q114=Gazetteer!$C$3:$C$9941)*(R114=Gazetteer!$D$3:$D$9941)*(S114=Gazetteer!$E$3:$E$9941),0))</f>
        <v>-</v>
      </c>
      <c r="V114" s="34">
        <f>INDEX(Ref!C:C,MATCH(W114,Ref!B:B,0))</f>
        <v>2000</v>
      </c>
      <c r="W114" s="36" t="s">
        <v>1169</v>
      </c>
      <c r="X114" s="5">
        <v>101</v>
      </c>
      <c r="Y114" s="11" t="s">
        <v>908</v>
      </c>
      <c r="Z114" s="5" t="s">
        <v>107</v>
      </c>
      <c r="AA114" t="s">
        <v>107</v>
      </c>
    </row>
    <row r="115" spans="1:27" x14ac:dyDescent="0.2">
      <c r="A115" s="5">
        <v>90</v>
      </c>
      <c r="B115" s="29" t="s">
        <v>874</v>
      </c>
      <c r="C115" s="29" t="s">
        <v>121</v>
      </c>
      <c r="D115" s="29" t="s">
        <v>122</v>
      </c>
      <c r="E115" s="30" t="s">
        <v>876</v>
      </c>
      <c r="F115" s="4" t="s">
        <v>877</v>
      </c>
      <c r="G115" s="29" t="s">
        <v>886</v>
      </c>
      <c r="H115" s="4" t="s">
        <v>51</v>
      </c>
      <c r="I115" t="s">
        <v>150</v>
      </c>
      <c r="J115" s="4" t="s">
        <v>107</v>
      </c>
      <c r="K115" s="9" t="s">
        <v>107</v>
      </c>
      <c r="L115" s="10" t="s">
        <v>107</v>
      </c>
      <c r="M115" s="10" t="s">
        <v>107</v>
      </c>
      <c r="N115" s="9" t="s">
        <v>107</v>
      </c>
      <c r="O115" s="9" t="s">
        <v>107</v>
      </c>
      <c r="P115" s="9" t="s">
        <v>107</v>
      </c>
      <c r="Q115" s="9" t="s">
        <v>433</v>
      </c>
      <c r="R115" s="9" t="s">
        <v>434</v>
      </c>
      <c r="S115" s="9" t="s">
        <v>107</v>
      </c>
      <c r="T115" s="34" t="str">
        <f t="array" ref="T115">INDEX(Gazetteer!$T$3:$T$9941,MATCH(1,(Q115=Gazetteer!$C$3:$C$9941)*(R115=Gazetteer!$D$3:$D$9941)*(S115=Gazetteer!$E$3:$E$9941),0))</f>
        <v>-</v>
      </c>
      <c r="U115" s="34" t="str">
        <f t="array" ref="U115">INDEX(Gazetteer!$U$3:$U$9941,MATCH(1,(Q115=Gazetteer!$C$3:$C$9941)*(R115=Gazetteer!$D$3:$D$9941)*(S115=Gazetteer!$E$3:$E$9941),0))</f>
        <v>-</v>
      </c>
      <c r="V115" s="34">
        <f>INDEX(Ref!C:C,MATCH(W115,Ref!B:B,0))</f>
        <v>2013</v>
      </c>
      <c r="W115" s="39" t="s">
        <v>1217</v>
      </c>
      <c r="X115" s="5">
        <v>66</v>
      </c>
      <c r="Y115" s="13" t="s">
        <v>429</v>
      </c>
      <c r="Z115" s="5" t="s">
        <v>107</v>
      </c>
      <c r="AA115" t="s">
        <v>107</v>
      </c>
    </row>
    <row r="116" spans="1:27" x14ac:dyDescent="0.2">
      <c r="A116" s="5">
        <v>123</v>
      </c>
      <c r="B116" s="29" t="s">
        <v>874</v>
      </c>
      <c r="C116" s="29" t="s">
        <v>121</v>
      </c>
      <c r="D116" s="29" t="s">
        <v>122</v>
      </c>
      <c r="E116" s="30" t="s">
        <v>95</v>
      </c>
      <c r="F116" s="4" t="s">
        <v>49</v>
      </c>
      <c r="G116" s="29" t="s">
        <v>702</v>
      </c>
      <c r="H116" s="4" t="s">
        <v>107</v>
      </c>
      <c r="I116" t="s">
        <v>150</v>
      </c>
      <c r="J116" s="4" t="s">
        <v>107</v>
      </c>
      <c r="K116" s="9" t="s">
        <v>107</v>
      </c>
      <c r="L116" s="10" t="s">
        <v>107</v>
      </c>
      <c r="M116" s="10" t="s">
        <v>156</v>
      </c>
      <c r="N116" s="9" t="s">
        <v>189</v>
      </c>
      <c r="O116" s="9" t="s">
        <v>190</v>
      </c>
      <c r="P116" s="9" t="s">
        <v>184</v>
      </c>
      <c r="Q116" s="9" t="s">
        <v>206</v>
      </c>
      <c r="R116" s="9" t="s">
        <v>514</v>
      </c>
      <c r="S116" s="9" t="s">
        <v>515</v>
      </c>
      <c r="T116" s="34" t="str">
        <f t="array" ref="T116">INDEX(Gazetteer!$T$3:$T$9941,MATCH(1,(Q116=Gazetteer!$C$3:$C$9941)*(R116=Gazetteer!$D$3:$D$9941)*(S116=Gazetteer!$E$3:$E$9941),0))</f>
        <v>23º49.00′N</v>
      </c>
      <c r="U116" s="34" t="str">
        <f t="array" ref="U116">INDEX(Gazetteer!$U$3:$U$9941,MATCH(1,(Q116=Gazetteer!$C$3:$C$9941)*(R116=Gazetteer!$D$3:$D$9941)*(S116=Gazetteer!$E$3:$E$9941),0))</f>
        <v>120º36.00′E</v>
      </c>
      <c r="V116" s="34">
        <f>INDEX(Ref!C:C,MATCH(W116,Ref!B:B,0))</f>
        <v>2003</v>
      </c>
      <c r="W116" s="39" t="s">
        <v>1218</v>
      </c>
      <c r="X116" s="5">
        <v>451</v>
      </c>
      <c r="Y116" s="11" t="s">
        <v>107</v>
      </c>
      <c r="Z116" s="5" t="s">
        <v>107</v>
      </c>
      <c r="AA116" t="s">
        <v>107</v>
      </c>
    </row>
    <row r="117" spans="1:27" x14ac:dyDescent="0.2">
      <c r="A117" s="5">
        <v>636</v>
      </c>
      <c r="B117" s="29" t="s">
        <v>874</v>
      </c>
      <c r="C117" s="29" t="s">
        <v>121</v>
      </c>
      <c r="D117" s="29" t="s">
        <v>122</v>
      </c>
      <c r="E117" s="30" t="s">
        <v>95</v>
      </c>
      <c r="F117" s="4" t="s">
        <v>977</v>
      </c>
      <c r="G117" s="29" t="s">
        <v>698</v>
      </c>
      <c r="H117" s="4" t="s">
        <v>107</v>
      </c>
      <c r="I117" t="s">
        <v>150</v>
      </c>
      <c r="J117" s="4" t="s">
        <v>107</v>
      </c>
      <c r="K117" s="9" t="s">
        <v>107</v>
      </c>
      <c r="L117" s="10" t="s">
        <v>107</v>
      </c>
      <c r="M117" s="10" t="s">
        <v>156</v>
      </c>
      <c r="N117" s="9" t="s">
        <v>107</v>
      </c>
      <c r="O117" s="9" t="s">
        <v>107</v>
      </c>
      <c r="P117" s="9" t="s">
        <v>107</v>
      </c>
      <c r="Q117" s="9" t="s">
        <v>962</v>
      </c>
      <c r="R117" s="9" t="s">
        <v>107</v>
      </c>
      <c r="S117" s="9" t="s">
        <v>107</v>
      </c>
      <c r="T117" s="34" t="str">
        <f t="array" ref="T117">INDEX(Gazetteer!$T$3:$T$9941,MATCH(1,(Q117=Gazetteer!$C$3:$C$9941)*(R117=Gazetteer!$D$3:$D$9941)*(S117=Gazetteer!$E$3:$E$9941),0))</f>
        <v>-</v>
      </c>
      <c r="U117" s="34" t="str">
        <f t="array" ref="U117">INDEX(Gazetteer!$U$3:$U$9941,MATCH(1,(Q117=Gazetteer!$C$3:$C$9941)*(R117=Gazetteer!$D$3:$D$9941)*(S117=Gazetteer!$E$3:$E$9941),0))</f>
        <v>-</v>
      </c>
      <c r="V117" s="34">
        <f>INDEX(Ref!C:C,MATCH(W117,Ref!B:B,0))</f>
        <v>2017</v>
      </c>
      <c r="W117" s="36" t="s">
        <v>1165</v>
      </c>
      <c r="X117" s="5" t="s">
        <v>957</v>
      </c>
      <c r="Y117" s="11" t="s">
        <v>993</v>
      </c>
      <c r="Z117" s="5" t="s">
        <v>107</v>
      </c>
      <c r="AA117" t="s">
        <v>107</v>
      </c>
    </row>
    <row r="118" spans="1:27" x14ac:dyDescent="0.2">
      <c r="A118" s="5">
        <v>643</v>
      </c>
      <c r="B118" s="29" t="s">
        <v>874</v>
      </c>
      <c r="C118" s="29" t="s">
        <v>121</v>
      </c>
      <c r="D118" s="29" t="s">
        <v>122</v>
      </c>
      <c r="E118" s="30" t="s">
        <v>95</v>
      </c>
      <c r="F118" s="4" t="s">
        <v>910</v>
      </c>
      <c r="G118" s="29" t="s">
        <v>169</v>
      </c>
      <c r="H118" s="4" t="s">
        <v>107</v>
      </c>
      <c r="I118" t="s">
        <v>150</v>
      </c>
      <c r="J118" s="4" t="s">
        <v>107</v>
      </c>
      <c r="K118" s="9" t="s">
        <v>107</v>
      </c>
      <c r="L118" s="10" t="s">
        <v>107</v>
      </c>
      <c r="M118" s="10" t="s">
        <v>107</v>
      </c>
      <c r="N118" s="9" t="s">
        <v>107</v>
      </c>
      <c r="O118" s="9" t="s">
        <v>107</v>
      </c>
      <c r="P118" s="9" t="s">
        <v>107</v>
      </c>
      <c r="Q118" s="9" t="s">
        <v>107</v>
      </c>
      <c r="R118" s="9" t="s">
        <v>107</v>
      </c>
      <c r="S118" s="9" t="s">
        <v>107</v>
      </c>
      <c r="T118" s="34" t="str">
        <f t="array" ref="T118">INDEX(Gazetteer!$T$3:$T$9941,MATCH(1,(Q118=Gazetteer!$C$3:$C$9941)*(R118=Gazetteer!$D$3:$D$9941)*(S118=Gazetteer!$E$3:$E$9941),0))</f>
        <v>-</v>
      </c>
      <c r="U118" s="34" t="str">
        <f t="array" ref="U118">INDEX(Gazetteer!$U$3:$U$9941,MATCH(1,(Q118=Gazetteer!$C$3:$C$9941)*(R118=Gazetteer!$D$3:$D$9941)*(S118=Gazetteer!$E$3:$E$9941),0))</f>
        <v>-</v>
      </c>
      <c r="V118" s="34">
        <f>INDEX(Ref!C:C,MATCH(W118,Ref!B:B,0))</f>
        <v>2017</v>
      </c>
      <c r="W118" s="36" t="s">
        <v>1165</v>
      </c>
      <c r="X118" s="5" t="s">
        <v>957</v>
      </c>
      <c r="Y118" s="11" t="s">
        <v>911</v>
      </c>
      <c r="Z118" s="5" t="s">
        <v>107</v>
      </c>
      <c r="AA118" t="s">
        <v>107</v>
      </c>
    </row>
    <row r="119" spans="1:27" x14ac:dyDescent="0.2">
      <c r="A119" s="5">
        <v>644</v>
      </c>
      <c r="B119" s="29" t="s">
        <v>874</v>
      </c>
      <c r="C119" s="29" t="s">
        <v>121</v>
      </c>
      <c r="D119" s="29" t="s">
        <v>122</v>
      </c>
      <c r="E119" s="30" t="s">
        <v>95</v>
      </c>
      <c r="F119" s="4" t="s">
        <v>910</v>
      </c>
      <c r="G119" s="29" t="s">
        <v>169</v>
      </c>
      <c r="H119" s="4" t="s">
        <v>107</v>
      </c>
      <c r="I119" t="s">
        <v>150</v>
      </c>
      <c r="J119" s="4" t="s">
        <v>107</v>
      </c>
      <c r="K119" s="9" t="s">
        <v>107</v>
      </c>
      <c r="L119" s="10" t="s">
        <v>107</v>
      </c>
      <c r="M119" s="10" t="s">
        <v>130</v>
      </c>
      <c r="N119" s="9" t="s">
        <v>107</v>
      </c>
      <c r="O119" s="9" t="s">
        <v>107</v>
      </c>
      <c r="P119" s="9" t="s">
        <v>178</v>
      </c>
      <c r="Q119" s="9" t="s">
        <v>904</v>
      </c>
      <c r="R119" s="9" t="s">
        <v>107</v>
      </c>
      <c r="S119" s="9" t="s">
        <v>107</v>
      </c>
      <c r="T119" s="34" t="str">
        <f t="array" ref="T119">INDEX(Gazetteer!$T$3:$T$9941,MATCH(1,(Q119=Gazetteer!$C$3:$C$9941)*(R119=Gazetteer!$D$3:$D$9941)*(S119=Gazetteer!$E$3:$E$9941),0))</f>
        <v>-</v>
      </c>
      <c r="U119" s="34" t="str">
        <f t="array" ref="U119">INDEX(Gazetteer!$U$3:$U$9941,MATCH(1,(Q119=Gazetteer!$C$3:$C$9941)*(R119=Gazetteer!$D$3:$D$9941)*(S119=Gazetteer!$E$3:$E$9941),0))</f>
        <v>-</v>
      </c>
      <c r="V119" s="34">
        <f>INDEX(Ref!C:C,MATCH(W119,Ref!B:B,0))</f>
        <v>2017</v>
      </c>
      <c r="W119" s="36" t="s">
        <v>1165</v>
      </c>
      <c r="X119" s="5" t="s">
        <v>957</v>
      </c>
      <c r="Y119" s="11" t="s">
        <v>994</v>
      </c>
      <c r="Z119" s="5" t="s">
        <v>107</v>
      </c>
      <c r="AA119" t="s">
        <v>107</v>
      </c>
    </row>
    <row r="120" spans="1:27" x14ac:dyDescent="0.2">
      <c r="A120" s="5">
        <v>80</v>
      </c>
      <c r="B120" s="29" t="s">
        <v>874</v>
      </c>
      <c r="C120" s="29" t="s">
        <v>121</v>
      </c>
      <c r="D120" s="29" t="s">
        <v>122</v>
      </c>
      <c r="E120" s="30" t="s">
        <v>95</v>
      </c>
      <c r="F120" s="4" t="s">
        <v>50</v>
      </c>
      <c r="G120" s="29" t="s">
        <v>399</v>
      </c>
      <c r="H120" s="4" t="s">
        <v>107</v>
      </c>
      <c r="I120" t="s">
        <v>150</v>
      </c>
      <c r="J120" s="4" t="s">
        <v>107</v>
      </c>
      <c r="K120" s="9" t="s">
        <v>107</v>
      </c>
      <c r="L120" s="10" t="s">
        <v>107</v>
      </c>
      <c r="M120" s="10" t="s">
        <v>156</v>
      </c>
      <c r="N120" s="9" t="s">
        <v>189</v>
      </c>
      <c r="O120" s="9" t="s">
        <v>190</v>
      </c>
      <c r="P120" s="9" t="s">
        <v>184</v>
      </c>
      <c r="Q120" s="9" t="s">
        <v>400</v>
      </c>
      <c r="R120" s="9" t="s">
        <v>401</v>
      </c>
      <c r="S120" s="9" t="s">
        <v>402</v>
      </c>
      <c r="T120" s="34" t="str">
        <f t="array" ref="T120">INDEX(Gazetteer!$T$3:$T$9941,MATCH(1,(Q120=Gazetteer!$C$3:$C$9941)*(R120=Gazetteer!$D$3:$D$9941)*(S120=Gazetteer!$E$3:$E$9941),0))</f>
        <v>42º25.57′N</v>
      </c>
      <c r="U120" s="34" t="str">
        <f t="array" ref="U120">INDEX(Gazetteer!$U$3:$U$9941,MATCH(1,(Q120=Gazetteer!$C$3:$C$9941)*(R120=Gazetteer!$D$3:$D$9941)*(S120=Gazetteer!$E$3:$E$9941),0))</f>
        <v>002º04.93′W</v>
      </c>
      <c r="V120" s="34">
        <f>INDEX(Ref!C:C,MATCH(W120,Ref!B:B,0))</f>
        <v>2009</v>
      </c>
      <c r="W120" s="39" t="s">
        <v>995</v>
      </c>
      <c r="X120" s="5">
        <v>230</v>
      </c>
      <c r="Y120" s="11" t="s">
        <v>107</v>
      </c>
      <c r="Z120" s="5" t="s">
        <v>107</v>
      </c>
      <c r="AA120" t="s">
        <v>107</v>
      </c>
    </row>
    <row r="121" spans="1:27" x14ac:dyDescent="0.2">
      <c r="A121" s="5">
        <v>654</v>
      </c>
      <c r="B121" s="29" t="s">
        <v>874</v>
      </c>
      <c r="C121" s="29" t="s">
        <v>121</v>
      </c>
      <c r="D121" s="29" t="s">
        <v>122</v>
      </c>
      <c r="E121" s="30" t="s">
        <v>96</v>
      </c>
      <c r="F121" s="4" t="s">
        <v>52</v>
      </c>
      <c r="G121" s="29" t="s">
        <v>335</v>
      </c>
      <c r="H121" s="4" t="s">
        <v>107</v>
      </c>
      <c r="I121" t="s">
        <v>150</v>
      </c>
      <c r="J121" s="4" t="s">
        <v>107</v>
      </c>
      <c r="K121" s="9" t="s">
        <v>107</v>
      </c>
      <c r="L121" s="10" t="s">
        <v>107</v>
      </c>
      <c r="M121" s="10" t="s">
        <v>130</v>
      </c>
      <c r="N121" s="9" t="s">
        <v>107</v>
      </c>
      <c r="O121" s="9" t="s">
        <v>107</v>
      </c>
      <c r="P121" s="9" t="s">
        <v>184</v>
      </c>
      <c r="Q121" s="9" t="s">
        <v>904</v>
      </c>
      <c r="R121" s="9" t="s">
        <v>107</v>
      </c>
      <c r="S121" s="9" t="s">
        <v>107</v>
      </c>
      <c r="T121" s="34" t="str">
        <f t="array" ref="T121">INDEX(Gazetteer!$T$3:$T$9941,MATCH(1,(Q121=Gazetteer!$C$3:$C$9941)*(R121=Gazetteer!$D$3:$D$9941)*(S121=Gazetteer!$E$3:$E$9941),0))</f>
        <v>-</v>
      </c>
      <c r="U121" s="34" t="str">
        <f t="array" ref="U121">INDEX(Gazetteer!$U$3:$U$9941,MATCH(1,(Q121=Gazetteer!$C$3:$C$9941)*(R121=Gazetteer!$D$3:$D$9941)*(S121=Gazetteer!$E$3:$E$9941),0))</f>
        <v>-</v>
      </c>
      <c r="V121" s="34">
        <f>INDEX(Ref!C:C,MATCH(W121,Ref!B:B,0))</f>
        <v>2017</v>
      </c>
      <c r="W121" s="36" t="s">
        <v>1165</v>
      </c>
      <c r="X121" s="5" t="s">
        <v>957</v>
      </c>
      <c r="Y121" s="11" t="s">
        <v>912</v>
      </c>
      <c r="Z121" s="5" t="s">
        <v>107</v>
      </c>
      <c r="AA121" t="s">
        <v>107</v>
      </c>
    </row>
    <row r="122" spans="1:27" x14ac:dyDescent="0.2">
      <c r="A122" s="5">
        <v>207</v>
      </c>
      <c r="B122" s="29" t="s">
        <v>874</v>
      </c>
      <c r="C122" s="29" t="s">
        <v>121</v>
      </c>
      <c r="D122" s="29" t="s">
        <v>122</v>
      </c>
      <c r="E122" s="30" t="s">
        <v>104</v>
      </c>
      <c r="F122" s="4" t="s">
        <v>69</v>
      </c>
      <c r="G122" s="29" t="s">
        <v>873</v>
      </c>
      <c r="H122" s="4" t="s">
        <v>671</v>
      </c>
      <c r="I122" t="s">
        <v>150</v>
      </c>
      <c r="J122" s="8" t="s">
        <v>107</v>
      </c>
      <c r="K122" s="9" t="s">
        <v>107</v>
      </c>
      <c r="L122" s="10" t="s">
        <v>107</v>
      </c>
      <c r="M122" s="10" t="s">
        <v>107</v>
      </c>
      <c r="N122" s="9" t="s">
        <v>107</v>
      </c>
      <c r="O122" s="9" t="s">
        <v>107</v>
      </c>
      <c r="P122" s="9" t="s">
        <v>178</v>
      </c>
      <c r="Q122" s="9" t="s">
        <v>164</v>
      </c>
      <c r="R122" s="9" t="s">
        <v>107</v>
      </c>
      <c r="S122" s="9" t="s">
        <v>107</v>
      </c>
      <c r="T122" s="34" t="str">
        <f t="array" ref="T122">INDEX(Gazetteer!$T$3:$T$9941,MATCH(1,(Q122=Gazetteer!$C$3:$C$9941)*(R122=Gazetteer!$D$3:$D$9941)*(S122=Gazetteer!$E$3:$E$9941),0))</f>
        <v>-</v>
      </c>
      <c r="U122" s="34" t="str">
        <f t="array" ref="U122">INDEX(Gazetteer!$U$3:$U$9941,MATCH(1,(Q122=Gazetteer!$C$3:$C$9941)*(R122=Gazetteer!$D$3:$D$9941)*(S122=Gazetteer!$E$3:$E$9941),0))</f>
        <v>-</v>
      </c>
      <c r="V122" s="34">
        <f>INDEX(Ref!C:C,MATCH(W122,Ref!B:B,0))</f>
        <v>2000</v>
      </c>
      <c r="W122" s="38" t="s">
        <v>1169</v>
      </c>
      <c r="X122" s="5">
        <v>101</v>
      </c>
      <c r="Y122" s="11" t="s">
        <v>913</v>
      </c>
      <c r="Z122" s="5" t="s">
        <v>107</v>
      </c>
      <c r="AA122" t="s">
        <v>107</v>
      </c>
    </row>
    <row r="123" spans="1:27" x14ac:dyDescent="0.2">
      <c r="A123" s="5">
        <v>211</v>
      </c>
      <c r="B123" s="29" t="s">
        <v>874</v>
      </c>
      <c r="C123" s="29" t="s">
        <v>121</v>
      </c>
      <c r="D123" s="29" t="s">
        <v>123</v>
      </c>
      <c r="E123" s="30" t="s">
        <v>93</v>
      </c>
      <c r="F123" s="4" t="s">
        <v>975</v>
      </c>
      <c r="G123" s="29" t="s">
        <v>698</v>
      </c>
      <c r="H123" s="4" t="s">
        <v>107</v>
      </c>
      <c r="I123" t="s">
        <v>150</v>
      </c>
      <c r="J123" s="8" t="s">
        <v>107</v>
      </c>
      <c r="K123" s="9" t="s">
        <v>107</v>
      </c>
      <c r="L123" s="10" t="s">
        <v>107</v>
      </c>
      <c r="M123" s="10" t="s">
        <v>130</v>
      </c>
      <c r="N123" s="9" t="s">
        <v>189</v>
      </c>
      <c r="O123" s="9" t="s">
        <v>190</v>
      </c>
      <c r="P123" s="9" t="s">
        <v>157</v>
      </c>
      <c r="Q123" s="9" t="s">
        <v>191</v>
      </c>
      <c r="R123" s="9" t="s">
        <v>198</v>
      </c>
      <c r="S123" s="9" t="s">
        <v>199</v>
      </c>
      <c r="T123" s="34" t="str">
        <f t="array" ref="T123">INDEX(Gazetteer!$T$3:$T$9941,MATCH(1,(Q123=Gazetteer!$C$3:$C$9941)*(R123=Gazetteer!$D$3:$D$9941)*(S123=Gazetteer!$E$3:$E$9941),0))</f>
        <v>49º16.68′N</v>
      </c>
      <c r="U123" s="34" t="str">
        <f t="array" ref="U123">INDEX(Gazetteer!$U$3:$U$9941,MATCH(1,(Q123=Gazetteer!$C$3:$C$9941)*(R123=Gazetteer!$D$3:$D$9941)*(S123=Gazetteer!$E$3:$E$9941),0))</f>
        <v>016º44.05′E</v>
      </c>
      <c r="V123" s="34">
        <f>INDEX(Ref!C:C,MATCH(W123,Ref!B:B,0))</f>
        <v>1994</v>
      </c>
      <c r="W123" s="37" t="s">
        <v>1219</v>
      </c>
      <c r="X123" s="5">
        <v>281</v>
      </c>
      <c r="Y123" s="11" t="s">
        <v>107</v>
      </c>
      <c r="Z123" s="5" t="s">
        <v>107</v>
      </c>
      <c r="AA123" t="s">
        <v>107</v>
      </c>
    </row>
    <row r="124" spans="1:27" x14ac:dyDescent="0.2">
      <c r="A124" s="5">
        <v>92</v>
      </c>
      <c r="B124" s="29" t="s">
        <v>874</v>
      </c>
      <c r="C124" s="29" t="s">
        <v>121</v>
      </c>
      <c r="D124" s="29" t="s">
        <v>123</v>
      </c>
      <c r="E124" s="30" t="s">
        <v>93</v>
      </c>
      <c r="F124" s="4" t="s">
        <v>54</v>
      </c>
      <c r="G124" s="29" t="s">
        <v>704</v>
      </c>
      <c r="H124" s="4" t="s">
        <v>107</v>
      </c>
      <c r="I124" t="s">
        <v>150</v>
      </c>
      <c r="J124" s="4" t="s">
        <v>107</v>
      </c>
      <c r="K124" s="9" t="s">
        <v>107</v>
      </c>
      <c r="L124" s="10" t="s">
        <v>107</v>
      </c>
      <c r="M124" s="10" t="s">
        <v>107</v>
      </c>
      <c r="N124" s="9" t="s">
        <v>107</v>
      </c>
      <c r="O124" s="9" t="s">
        <v>107</v>
      </c>
      <c r="P124" s="9" t="s">
        <v>107</v>
      </c>
      <c r="Q124" s="9" t="s">
        <v>414</v>
      </c>
      <c r="R124" s="9" t="s">
        <v>437</v>
      </c>
      <c r="S124" s="9" t="s">
        <v>438</v>
      </c>
      <c r="T124" s="34" t="str">
        <f t="array" ref="T124">INDEX(Gazetteer!$T$3:$T$9941,MATCH(1,(Q124=Gazetteer!$C$3:$C$9941)*(R124=Gazetteer!$D$3:$D$9941)*(S124=Gazetteer!$E$3:$E$9941),0))</f>
        <v>53º16.75′N</v>
      </c>
      <c r="U124" s="34" t="str">
        <f t="array" ref="U124">INDEX(Gazetteer!$U$3:$U$9941,MATCH(1,(Q124=Gazetteer!$C$3:$C$9941)*(R124=Gazetteer!$D$3:$D$9941)*(S124=Gazetteer!$E$3:$E$9941),0))</f>
        <v>006º09.05′E</v>
      </c>
      <c r="V124" s="34">
        <f>INDEX(Ref!C:C,MATCH(W124,Ref!B:B,0))</f>
        <v>2002</v>
      </c>
      <c r="W124" s="37" t="s">
        <v>1220</v>
      </c>
      <c r="X124" s="5">
        <v>49</v>
      </c>
      <c r="Y124" s="11" t="s">
        <v>107</v>
      </c>
      <c r="Z124" s="5" t="s">
        <v>107</v>
      </c>
      <c r="AA124" t="s">
        <v>107</v>
      </c>
    </row>
    <row r="125" spans="1:27" x14ac:dyDescent="0.2">
      <c r="A125" s="5">
        <v>550</v>
      </c>
      <c r="B125" s="29" t="s">
        <v>874</v>
      </c>
      <c r="C125" s="29" t="s">
        <v>121</v>
      </c>
      <c r="D125" s="29" t="s">
        <v>123</v>
      </c>
      <c r="E125" s="30" t="s">
        <v>93</v>
      </c>
      <c r="F125" s="4" t="s">
        <v>976</v>
      </c>
      <c r="G125" s="29" t="s">
        <v>698</v>
      </c>
      <c r="H125" s="4" t="s">
        <v>107</v>
      </c>
      <c r="I125" t="s">
        <v>150</v>
      </c>
      <c r="J125" s="4" t="s">
        <v>107</v>
      </c>
      <c r="K125" s="9" t="s">
        <v>107</v>
      </c>
      <c r="L125" s="10" t="s">
        <v>107</v>
      </c>
      <c r="M125" s="10" t="s">
        <v>156</v>
      </c>
      <c r="N125" s="9" t="s">
        <v>107</v>
      </c>
      <c r="O125" s="9" t="s">
        <v>107</v>
      </c>
      <c r="P125" s="9" t="s">
        <v>107</v>
      </c>
      <c r="Q125" s="9" t="s">
        <v>980</v>
      </c>
      <c r="R125" s="9" t="s">
        <v>107</v>
      </c>
      <c r="S125" s="9" t="s">
        <v>107</v>
      </c>
      <c r="T125" s="34" t="str">
        <f t="array" ref="T125">INDEX(Gazetteer!$T$3:$T$9941,MATCH(1,(Q125=Gazetteer!$C$3:$C$9941)*(R125=Gazetteer!$D$3:$D$9941)*(S125=Gazetteer!$E$3:$E$9941),0))</f>
        <v>-</v>
      </c>
      <c r="U125" s="34" t="str">
        <f t="array" ref="U125">INDEX(Gazetteer!$U$3:$U$9941,MATCH(1,(Q125=Gazetteer!$C$3:$C$9941)*(R125=Gazetteer!$D$3:$D$9941)*(S125=Gazetteer!$E$3:$E$9941),0))</f>
        <v>-</v>
      </c>
      <c r="V125" s="34">
        <f>INDEX(Ref!C:C,MATCH(W125,Ref!B:B,0))</f>
        <v>2017</v>
      </c>
      <c r="W125" s="36" t="s">
        <v>1165</v>
      </c>
      <c r="X125" s="5" t="s">
        <v>957</v>
      </c>
      <c r="Y125" s="11" t="s">
        <v>989</v>
      </c>
      <c r="Z125" s="5" t="s">
        <v>107</v>
      </c>
      <c r="AA125" t="s">
        <v>107</v>
      </c>
    </row>
    <row r="126" spans="1:27" x14ac:dyDescent="0.2">
      <c r="A126" s="5">
        <v>548</v>
      </c>
      <c r="B126" s="29" t="s">
        <v>874</v>
      </c>
      <c r="C126" s="29" t="s">
        <v>121</v>
      </c>
      <c r="D126" s="29" t="s">
        <v>123</v>
      </c>
      <c r="E126" s="30" t="s">
        <v>93</v>
      </c>
      <c r="F126" s="4" t="s">
        <v>976</v>
      </c>
      <c r="G126" s="29" t="s">
        <v>698</v>
      </c>
      <c r="H126" s="4" t="s">
        <v>107</v>
      </c>
      <c r="I126" t="s">
        <v>150</v>
      </c>
      <c r="J126" s="4" t="s">
        <v>107</v>
      </c>
      <c r="K126" s="9" t="s">
        <v>107</v>
      </c>
      <c r="L126" s="10" t="s">
        <v>107</v>
      </c>
      <c r="M126" s="10" t="s">
        <v>156</v>
      </c>
      <c r="N126" s="9" t="s">
        <v>107</v>
      </c>
      <c r="O126" s="9" t="s">
        <v>107</v>
      </c>
      <c r="P126" s="9" t="s">
        <v>178</v>
      </c>
      <c r="Q126" s="9" t="s">
        <v>191</v>
      </c>
      <c r="R126" s="9" t="s">
        <v>107</v>
      </c>
      <c r="S126" s="9" t="s">
        <v>107</v>
      </c>
      <c r="T126" s="34" t="str">
        <f t="array" ref="T126">INDEX(Gazetteer!$T$3:$T$9941,MATCH(1,(Q126=Gazetteer!$C$3:$C$9941)*(R126=Gazetteer!$D$3:$D$9941)*(S126=Gazetteer!$E$3:$E$9941),0))</f>
        <v>-</v>
      </c>
      <c r="U126" s="34" t="str">
        <f t="array" ref="U126">INDEX(Gazetteer!$U$3:$U$9941,MATCH(1,(Q126=Gazetteer!$C$3:$C$9941)*(R126=Gazetteer!$D$3:$D$9941)*(S126=Gazetteer!$E$3:$E$9941),0))</f>
        <v>-</v>
      </c>
      <c r="V126" s="34">
        <f>INDEX(Ref!C:C,MATCH(W126,Ref!B:B,0))</f>
        <v>2017</v>
      </c>
      <c r="W126" s="36" t="s">
        <v>1165</v>
      </c>
      <c r="X126" s="5" t="s">
        <v>957</v>
      </c>
      <c r="Y126" s="13" t="s">
        <v>447</v>
      </c>
      <c r="Z126" s="5" t="s">
        <v>107</v>
      </c>
      <c r="AA126" t="s">
        <v>107</v>
      </c>
    </row>
    <row r="127" spans="1:27" x14ac:dyDescent="0.2">
      <c r="A127" s="5">
        <v>547</v>
      </c>
      <c r="B127" s="29" t="s">
        <v>874</v>
      </c>
      <c r="C127" s="29" t="s">
        <v>121</v>
      </c>
      <c r="D127" s="29" t="s">
        <v>123</v>
      </c>
      <c r="E127" s="30" t="s">
        <v>93</v>
      </c>
      <c r="F127" s="4" t="s">
        <v>976</v>
      </c>
      <c r="G127" s="29" t="s">
        <v>698</v>
      </c>
      <c r="H127" s="4" t="s">
        <v>107</v>
      </c>
      <c r="I127" t="s">
        <v>150</v>
      </c>
      <c r="J127" s="4" t="s">
        <v>107</v>
      </c>
      <c r="K127" s="9" t="s">
        <v>107</v>
      </c>
      <c r="L127" s="10" t="s">
        <v>107</v>
      </c>
      <c r="M127" s="10" t="s">
        <v>156</v>
      </c>
      <c r="N127" s="9" t="s">
        <v>107</v>
      </c>
      <c r="O127" s="9" t="s">
        <v>107</v>
      </c>
      <c r="P127" s="9" t="s">
        <v>178</v>
      </c>
      <c r="Q127" s="9" t="s">
        <v>424</v>
      </c>
      <c r="R127" s="9" t="s">
        <v>107</v>
      </c>
      <c r="S127" s="9" t="s">
        <v>107</v>
      </c>
      <c r="T127" s="34" t="str">
        <f t="array" ref="T127">INDEX(Gazetteer!$T$3:$T$9941,MATCH(1,(Q127=Gazetteer!$C$3:$C$9941)*(R127=Gazetteer!$D$3:$D$9941)*(S127=Gazetteer!$E$3:$E$9941),0))</f>
        <v>-</v>
      </c>
      <c r="U127" s="34" t="str">
        <f t="array" ref="U127">INDEX(Gazetteer!$U$3:$U$9941,MATCH(1,(Q127=Gazetteer!$C$3:$C$9941)*(R127=Gazetteer!$D$3:$D$9941)*(S127=Gazetteer!$E$3:$E$9941),0))</f>
        <v>-</v>
      </c>
      <c r="V127" s="34">
        <f>INDEX(Ref!C:C,MATCH(W127,Ref!B:B,0))</f>
        <v>2017</v>
      </c>
      <c r="W127" s="36" t="s">
        <v>1165</v>
      </c>
      <c r="X127" s="5" t="s">
        <v>957</v>
      </c>
      <c r="Y127" s="11" t="s">
        <v>426</v>
      </c>
      <c r="Z127" s="5" t="s">
        <v>107</v>
      </c>
      <c r="AA127" t="s">
        <v>107</v>
      </c>
    </row>
    <row r="128" spans="1:27" x14ac:dyDescent="0.2">
      <c r="A128" s="5">
        <v>553</v>
      </c>
      <c r="B128" s="29" t="s">
        <v>874</v>
      </c>
      <c r="C128" s="29" t="s">
        <v>121</v>
      </c>
      <c r="D128" s="29" t="s">
        <v>123</v>
      </c>
      <c r="E128" s="30" t="s">
        <v>93</v>
      </c>
      <c r="F128" s="4" t="s">
        <v>976</v>
      </c>
      <c r="G128" s="29" t="s">
        <v>698</v>
      </c>
      <c r="H128" s="4" t="s">
        <v>107</v>
      </c>
      <c r="I128" t="s">
        <v>150</v>
      </c>
      <c r="J128" s="4" t="s">
        <v>107</v>
      </c>
      <c r="K128" s="9" t="s">
        <v>107</v>
      </c>
      <c r="L128" s="10" t="s">
        <v>107</v>
      </c>
      <c r="M128" s="10" t="s">
        <v>156</v>
      </c>
      <c r="N128" s="9" t="s">
        <v>107</v>
      </c>
      <c r="O128" s="9" t="s">
        <v>107</v>
      </c>
      <c r="P128" s="9" t="s">
        <v>184</v>
      </c>
      <c r="Q128" s="9" t="s">
        <v>904</v>
      </c>
      <c r="R128" s="9" t="s">
        <v>107</v>
      </c>
      <c r="S128" s="9" t="s">
        <v>107</v>
      </c>
      <c r="T128" s="34" t="str">
        <f t="array" ref="T128">INDEX(Gazetteer!$T$3:$T$9941,MATCH(1,(Q128=Gazetteer!$C$3:$C$9941)*(R128=Gazetteer!$D$3:$D$9941)*(S128=Gazetteer!$E$3:$E$9941),0))</f>
        <v>-</v>
      </c>
      <c r="U128" s="34" t="str">
        <f t="array" ref="U128">INDEX(Gazetteer!$U$3:$U$9941,MATCH(1,(Q128=Gazetteer!$C$3:$C$9941)*(R128=Gazetteer!$D$3:$D$9941)*(S128=Gazetteer!$E$3:$E$9941),0))</f>
        <v>-</v>
      </c>
      <c r="V128" s="34">
        <f>INDEX(Ref!C:C,MATCH(W128,Ref!B:B,0))</f>
        <v>2017</v>
      </c>
      <c r="W128" s="36" t="s">
        <v>1165</v>
      </c>
      <c r="X128" s="5" t="s">
        <v>957</v>
      </c>
      <c r="Y128" s="11" t="s">
        <v>990</v>
      </c>
      <c r="Z128" s="5" t="s">
        <v>107</v>
      </c>
      <c r="AA128" t="s">
        <v>107</v>
      </c>
    </row>
    <row r="129" spans="1:27" x14ac:dyDescent="0.2">
      <c r="A129" s="5">
        <v>89</v>
      </c>
      <c r="B129" s="29" t="s">
        <v>874</v>
      </c>
      <c r="C129" s="29" t="s">
        <v>121</v>
      </c>
      <c r="D129" s="29" t="s">
        <v>123</v>
      </c>
      <c r="E129" s="30" t="s">
        <v>93</v>
      </c>
      <c r="F129" s="4" t="s">
        <v>976</v>
      </c>
      <c r="G129" s="29" t="s">
        <v>698</v>
      </c>
      <c r="H129" s="4" t="s">
        <v>107</v>
      </c>
      <c r="I129" t="s">
        <v>150</v>
      </c>
      <c r="J129" s="4" t="s">
        <v>107</v>
      </c>
      <c r="K129" s="9" t="s">
        <v>107</v>
      </c>
      <c r="L129" s="10" t="s">
        <v>107</v>
      </c>
      <c r="M129" s="10" t="s">
        <v>107</v>
      </c>
      <c r="N129" s="9" t="s">
        <v>107</v>
      </c>
      <c r="O129" s="9" t="s">
        <v>107</v>
      </c>
      <c r="P129" s="9" t="s">
        <v>178</v>
      </c>
      <c r="Q129" s="9" t="s">
        <v>425</v>
      </c>
      <c r="R129" s="9" t="s">
        <v>107</v>
      </c>
      <c r="S129" t="s">
        <v>724</v>
      </c>
      <c r="T129" s="34" t="str">
        <f t="array" ref="T129">INDEX(Gazetteer!$T$3:$T$9941,MATCH(1,(Q129=Gazetteer!$C$3:$C$9941)*(R129=Gazetteer!$D$3:$D$9941)*(S129=Gazetteer!$E$3:$E$9941),0))</f>
        <v>-</v>
      </c>
      <c r="U129" s="34" t="str">
        <f t="array" ref="U129">INDEX(Gazetteer!$U$3:$U$9941,MATCH(1,(Q129=Gazetteer!$C$3:$C$9941)*(R129=Gazetteer!$D$3:$D$9941)*(S129=Gazetteer!$E$3:$E$9941),0))</f>
        <v>-</v>
      </c>
      <c r="V129" s="34">
        <f>INDEX(Ref!C:C,MATCH(W129,Ref!B:B,0))</f>
        <v>2000</v>
      </c>
      <c r="W129" s="36" t="s">
        <v>1169</v>
      </c>
      <c r="X129" s="5">
        <v>101</v>
      </c>
      <c r="Y129" s="11" t="s">
        <v>107</v>
      </c>
      <c r="Z129" s="5" t="s">
        <v>107</v>
      </c>
      <c r="AA129" t="s">
        <v>738</v>
      </c>
    </row>
    <row r="130" spans="1:27" x14ac:dyDescent="0.2">
      <c r="A130" s="5">
        <v>237</v>
      </c>
      <c r="B130" s="29" t="s">
        <v>874</v>
      </c>
      <c r="C130" s="29" t="s">
        <v>121</v>
      </c>
      <c r="D130" s="29" t="s">
        <v>123</v>
      </c>
      <c r="E130" s="30" t="s">
        <v>93</v>
      </c>
      <c r="F130" s="4" t="s">
        <v>976</v>
      </c>
      <c r="G130" s="29" t="s">
        <v>698</v>
      </c>
      <c r="H130" s="4" t="s">
        <v>107</v>
      </c>
      <c r="I130" t="s">
        <v>150</v>
      </c>
      <c r="J130" s="4" t="s">
        <v>107</v>
      </c>
      <c r="K130" s="9" t="s">
        <v>107</v>
      </c>
      <c r="L130" s="10" t="s">
        <v>107</v>
      </c>
      <c r="M130" s="10" t="s">
        <v>107</v>
      </c>
      <c r="N130" s="9" t="s">
        <v>107</v>
      </c>
      <c r="O130" s="9" t="s">
        <v>107</v>
      </c>
      <c r="P130" s="9" t="s">
        <v>107</v>
      </c>
      <c r="Q130" s="8" t="s">
        <v>425</v>
      </c>
      <c r="R130" t="s">
        <v>720</v>
      </c>
      <c r="S130" t="s">
        <v>721</v>
      </c>
      <c r="T130" s="34" t="str">
        <f t="array" ref="T130">INDEX(Gazetteer!$T$3:$T$9941,MATCH(1,(Q130=Gazetteer!$C$3:$C$9941)*(R130=Gazetteer!$D$3:$D$9941)*(S130=Gazetteer!$E$3:$E$9941),0))</f>
        <v>-</v>
      </c>
      <c r="U130" s="34" t="str">
        <f t="array" ref="U130">INDEX(Gazetteer!$U$3:$U$9941,MATCH(1,(Q130=Gazetteer!$C$3:$C$9941)*(R130=Gazetteer!$D$3:$D$9941)*(S130=Gazetteer!$E$3:$E$9941),0))</f>
        <v>-</v>
      </c>
      <c r="V130" s="34">
        <f>INDEX(Ref!C:C,MATCH(W130,Ref!B:B,0))</f>
        <v>2017</v>
      </c>
      <c r="W130" s="36" t="s">
        <v>1174</v>
      </c>
      <c r="X130" s="5">
        <v>305</v>
      </c>
      <c r="Y130" t="s">
        <v>737</v>
      </c>
      <c r="Z130" s="5" t="s">
        <v>107</v>
      </c>
      <c r="AA130" t="s">
        <v>107</v>
      </c>
    </row>
    <row r="131" spans="1:27" x14ac:dyDescent="0.2">
      <c r="A131" s="5">
        <v>187</v>
      </c>
      <c r="B131" s="29" t="s">
        <v>874</v>
      </c>
      <c r="C131" s="29" t="s">
        <v>121</v>
      </c>
      <c r="D131" s="29" t="s">
        <v>123</v>
      </c>
      <c r="E131" s="30" t="s">
        <v>93</v>
      </c>
      <c r="F131" s="4" t="s">
        <v>55</v>
      </c>
      <c r="G131" s="29" t="s">
        <v>705</v>
      </c>
      <c r="H131" s="4" t="s">
        <v>107</v>
      </c>
      <c r="I131" t="s">
        <v>150</v>
      </c>
      <c r="J131" s="4" t="s">
        <v>107</v>
      </c>
      <c r="K131" s="9" t="s">
        <v>635</v>
      </c>
      <c r="L131" s="10" t="s">
        <v>636</v>
      </c>
      <c r="M131" s="10" t="s">
        <v>107</v>
      </c>
      <c r="N131" s="9" t="s">
        <v>107</v>
      </c>
      <c r="O131" s="9" t="s">
        <v>107</v>
      </c>
      <c r="P131" s="9" t="s">
        <v>178</v>
      </c>
      <c r="Q131" s="9" t="s">
        <v>420</v>
      </c>
      <c r="R131" s="9" t="s">
        <v>637</v>
      </c>
      <c r="S131" s="9" t="s">
        <v>638</v>
      </c>
      <c r="T131" s="34" t="str">
        <f t="array" ref="T131">INDEX(Gazetteer!$T$3:$T$9941,MATCH(1,(Q131=Gazetteer!$C$3:$C$9941)*(R131=Gazetteer!$D$3:$D$9941)*(S131=Gazetteer!$E$3:$E$9941),0))</f>
        <v>53º33.63′N</v>
      </c>
      <c r="U131" s="34" t="str">
        <f t="array" ref="U131">INDEX(Gazetteer!$U$3:$U$9941,MATCH(1,(Q131=Gazetteer!$C$3:$C$9941)*(R131=Gazetteer!$D$3:$D$9941)*(S131=Gazetteer!$E$3:$E$9941),0))</f>
        <v>114º44.20′W</v>
      </c>
      <c r="V131" s="34">
        <f>INDEX(Ref!C:C,MATCH(W131,Ref!B:B,0))</f>
        <v>1982</v>
      </c>
      <c r="W131" s="37" t="s">
        <v>1221</v>
      </c>
      <c r="X131" s="5">
        <v>217</v>
      </c>
      <c r="Y131" s="11" t="s">
        <v>107</v>
      </c>
      <c r="Z131" s="5" t="s">
        <v>107</v>
      </c>
      <c r="AA131" t="s">
        <v>107</v>
      </c>
    </row>
    <row r="132" spans="1:27" x14ac:dyDescent="0.2">
      <c r="A132" s="5">
        <v>86</v>
      </c>
      <c r="B132" s="29" t="s">
        <v>874</v>
      </c>
      <c r="C132" s="29" t="s">
        <v>121</v>
      </c>
      <c r="D132" s="29" t="s">
        <v>123</v>
      </c>
      <c r="E132" s="30" t="s">
        <v>93</v>
      </c>
      <c r="F132" s="4" t="s">
        <v>55</v>
      </c>
      <c r="G132" s="29" t="s">
        <v>705</v>
      </c>
      <c r="H132" s="4" t="s">
        <v>107</v>
      </c>
      <c r="I132" t="s">
        <v>150</v>
      </c>
      <c r="J132" s="4" t="s">
        <v>107</v>
      </c>
      <c r="K132" s="9" t="s">
        <v>107</v>
      </c>
      <c r="L132" s="10" t="s">
        <v>107</v>
      </c>
      <c r="M132" s="10" t="s">
        <v>107</v>
      </c>
      <c r="N132" s="9" t="s">
        <v>107</v>
      </c>
      <c r="O132" s="9" t="s">
        <v>107</v>
      </c>
      <c r="P132" s="9" t="s">
        <v>107</v>
      </c>
      <c r="Q132" s="9" t="s">
        <v>420</v>
      </c>
      <c r="R132" s="9" t="s">
        <v>421</v>
      </c>
      <c r="S132" s="9" t="s">
        <v>107</v>
      </c>
      <c r="T132" s="34" t="str">
        <f t="array" ref="T132">INDEX(Gazetteer!$T$3:$T$9941,MATCH(1,(Q132=Gazetteer!$C$3:$C$9941)*(R132=Gazetteer!$D$3:$D$9941)*(S132=Gazetteer!$E$3:$E$9941),0))</f>
        <v>-</v>
      </c>
      <c r="U132" s="34" t="str">
        <f t="array" ref="U132">INDEX(Gazetteer!$U$3:$U$9941,MATCH(1,(Q132=Gazetteer!$C$3:$C$9941)*(R132=Gazetteer!$D$3:$D$9941)*(S132=Gazetteer!$E$3:$E$9941),0))</f>
        <v>-</v>
      </c>
      <c r="V132" s="34">
        <f>INDEX(Ref!C:C,MATCH(W132,Ref!B:B,0))</f>
        <v>2008</v>
      </c>
      <c r="W132" s="37" t="s">
        <v>1222</v>
      </c>
      <c r="X132" s="5">
        <v>198</v>
      </c>
      <c r="Y132" s="13" t="s">
        <v>417</v>
      </c>
      <c r="Z132" s="5" t="s">
        <v>107</v>
      </c>
      <c r="AA132" t="s">
        <v>107</v>
      </c>
    </row>
    <row r="133" spans="1:27" x14ac:dyDescent="0.2">
      <c r="A133" s="5">
        <v>572</v>
      </c>
      <c r="B133" s="29" t="s">
        <v>874</v>
      </c>
      <c r="C133" s="29" t="s">
        <v>121</v>
      </c>
      <c r="D133" s="29" t="s">
        <v>123</v>
      </c>
      <c r="E133" s="30" t="s">
        <v>93</v>
      </c>
      <c r="F133" s="4" t="s">
        <v>55</v>
      </c>
      <c r="G133" s="29" t="s">
        <v>705</v>
      </c>
      <c r="H133" s="4" t="s">
        <v>107</v>
      </c>
      <c r="I133" t="s">
        <v>150</v>
      </c>
      <c r="J133" s="4" t="s">
        <v>107</v>
      </c>
      <c r="K133" s="9" t="s">
        <v>107</v>
      </c>
      <c r="L133" s="10" t="s">
        <v>107</v>
      </c>
      <c r="M133" s="10" t="s">
        <v>156</v>
      </c>
      <c r="N133" s="9" t="s">
        <v>107</v>
      </c>
      <c r="O133" s="9" t="s">
        <v>107</v>
      </c>
      <c r="P133" s="9" t="s">
        <v>157</v>
      </c>
      <c r="Q133" s="9" t="s">
        <v>433</v>
      </c>
      <c r="R133" s="9" t="s">
        <v>107</v>
      </c>
      <c r="S133" s="9" t="s">
        <v>107</v>
      </c>
      <c r="T133" s="34" t="str">
        <f t="array" ref="T133">INDEX(Gazetteer!$T$3:$T$9941,MATCH(1,(Q133=Gazetteer!$C$3:$C$9941)*(R133=Gazetteer!$D$3:$D$9941)*(S133=Gazetteer!$E$3:$E$9941),0))</f>
        <v>-</v>
      </c>
      <c r="U133" s="34" t="str">
        <f t="array" ref="U133">INDEX(Gazetteer!$U$3:$U$9941,MATCH(1,(Q133=Gazetteer!$C$3:$C$9941)*(R133=Gazetteer!$D$3:$D$9941)*(S133=Gazetteer!$E$3:$E$9941),0))</f>
        <v>-</v>
      </c>
      <c r="V133" s="34">
        <f>INDEX(Ref!C:C,MATCH(W133,Ref!B:B,0))</f>
        <v>2017</v>
      </c>
      <c r="W133" s="36" t="s">
        <v>1165</v>
      </c>
      <c r="X133" s="5" t="s">
        <v>957</v>
      </c>
      <c r="Y133" s="11" t="s">
        <v>907</v>
      </c>
      <c r="Z133" s="5" t="s">
        <v>107</v>
      </c>
      <c r="AA133" t="s">
        <v>107</v>
      </c>
    </row>
    <row r="134" spans="1:27" x14ac:dyDescent="0.2">
      <c r="A134" s="5">
        <v>213</v>
      </c>
      <c r="B134" s="29" t="s">
        <v>874</v>
      </c>
      <c r="C134" s="29" t="s">
        <v>121</v>
      </c>
      <c r="D134" s="29" t="s">
        <v>123</v>
      </c>
      <c r="E134" s="30" t="s">
        <v>93</v>
      </c>
      <c r="F134" s="4" t="s">
        <v>55</v>
      </c>
      <c r="G134" s="29" t="s">
        <v>705</v>
      </c>
      <c r="H134" s="4" t="s">
        <v>491</v>
      </c>
      <c r="I134" t="s">
        <v>150</v>
      </c>
      <c r="J134" s="8" t="s">
        <v>107</v>
      </c>
      <c r="K134" s="9" t="s">
        <v>680</v>
      </c>
      <c r="L134" s="10">
        <v>44435</v>
      </c>
      <c r="M134" s="10" t="s">
        <v>130</v>
      </c>
      <c r="N134" s="9" t="s">
        <v>107</v>
      </c>
      <c r="O134" s="9" t="s">
        <v>107</v>
      </c>
      <c r="P134" s="9" t="s">
        <v>107</v>
      </c>
      <c r="Q134" s="9" t="s">
        <v>433</v>
      </c>
      <c r="R134" s="9" t="s">
        <v>683</v>
      </c>
      <c r="S134" s="9" t="s">
        <v>684</v>
      </c>
      <c r="T134" s="34" t="str">
        <f t="array" ref="T134">INDEX(Gazetteer!$T$3:$T$9941,MATCH(1,(Q134=Gazetteer!$C$3:$C$9941)*(R134=Gazetteer!$D$3:$D$9941)*(S134=Gazetteer!$E$3:$E$9941),0))</f>
        <v>45º27.33′N</v>
      </c>
      <c r="U134" s="34" t="str">
        <f t="array" ref="U134">INDEX(Gazetteer!$U$3:$U$9941,MATCH(1,(Q134=Gazetteer!$C$3:$C$9941)*(R134=Gazetteer!$D$3:$D$9941)*(S134=Gazetteer!$E$3:$E$9941),0))</f>
        <v>091º16.35′W</v>
      </c>
      <c r="V134" s="34">
        <f>INDEX(Ref!C:C,MATCH(W134,Ref!B:B,0))</f>
        <v>1974</v>
      </c>
      <c r="W134" s="39" t="s">
        <v>1223</v>
      </c>
      <c r="X134" s="5">
        <v>81</v>
      </c>
      <c r="Y134" s="11" t="s">
        <v>107</v>
      </c>
      <c r="Z134" s="5" t="s">
        <v>107</v>
      </c>
      <c r="AA134" t="s">
        <v>107</v>
      </c>
    </row>
    <row r="135" spans="1:27" x14ac:dyDescent="0.2">
      <c r="A135" s="5">
        <v>116</v>
      </c>
      <c r="B135" s="29" t="s">
        <v>874</v>
      </c>
      <c r="C135" s="29" t="s">
        <v>121</v>
      </c>
      <c r="D135" s="29" t="s">
        <v>123</v>
      </c>
      <c r="E135" s="30" t="s">
        <v>93</v>
      </c>
      <c r="F135" s="4" t="s">
        <v>56</v>
      </c>
      <c r="G135" s="29" t="s">
        <v>706</v>
      </c>
      <c r="H135" s="4" t="s">
        <v>107</v>
      </c>
      <c r="I135" t="s">
        <v>150</v>
      </c>
      <c r="J135" s="4" t="s">
        <v>107</v>
      </c>
      <c r="K135" s="9" t="s">
        <v>107</v>
      </c>
      <c r="L135" s="10" t="s">
        <v>107</v>
      </c>
      <c r="M135" s="10" t="s">
        <v>107</v>
      </c>
      <c r="N135" s="9" t="s">
        <v>107</v>
      </c>
      <c r="O135" s="9" t="s">
        <v>107</v>
      </c>
      <c r="P135" s="9" t="s">
        <v>157</v>
      </c>
      <c r="Q135" s="9" t="s">
        <v>164</v>
      </c>
      <c r="R135" s="9" t="s">
        <v>495</v>
      </c>
      <c r="S135" s="9" t="s">
        <v>496</v>
      </c>
      <c r="T135" s="34" t="str">
        <f t="array" ref="T135">INDEX(Gazetteer!$T$3:$T$9941,MATCH(1,(Q135=Gazetteer!$C$3:$C$9941)*(R135=Gazetteer!$D$3:$D$9941)*(S135=Gazetteer!$E$3:$E$9941),0))</f>
        <v>38º42.13′N</v>
      </c>
      <c r="U135" s="34" t="str">
        <f t="array" ref="U135">INDEX(Gazetteer!$U$3:$U$9941,MATCH(1,(Q135=Gazetteer!$C$3:$C$9941)*(R135=Gazetteer!$D$3:$D$9941)*(S135=Gazetteer!$E$3:$E$9941),0))</f>
        <v>139º40.15′E</v>
      </c>
      <c r="V135" s="34">
        <f>INDEX(Ref!C:C,MATCH(W135,Ref!B:B,0))</f>
        <v>1991</v>
      </c>
      <c r="W135" s="37" t="s">
        <v>1224</v>
      </c>
      <c r="X135" s="5">
        <v>37</v>
      </c>
      <c r="Y135" s="11" t="s">
        <v>107</v>
      </c>
      <c r="Z135" s="5" t="s">
        <v>107</v>
      </c>
      <c r="AA135" t="s">
        <v>107</v>
      </c>
    </row>
    <row r="136" spans="1:27" x14ac:dyDescent="0.2">
      <c r="A136" s="5">
        <v>589</v>
      </c>
      <c r="B136" s="29" t="s">
        <v>874</v>
      </c>
      <c r="C136" s="29" t="s">
        <v>121</v>
      </c>
      <c r="D136" s="29" t="s">
        <v>123</v>
      </c>
      <c r="E136" s="30" t="s">
        <v>93</v>
      </c>
      <c r="F136" s="4" t="s">
        <v>57</v>
      </c>
      <c r="G136" s="29" t="s">
        <v>707</v>
      </c>
      <c r="H136" s="4" t="s">
        <v>107</v>
      </c>
      <c r="I136" t="s">
        <v>150</v>
      </c>
      <c r="J136" s="4" t="s">
        <v>107</v>
      </c>
      <c r="K136" s="9" t="s">
        <v>107</v>
      </c>
      <c r="L136" s="10" t="s">
        <v>107</v>
      </c>
      <c r="M136" s="10" t="s">
        <v>107</v>
      </c>
      <c r="N136" s="9" t="s">
        <v>107</v>
      </c>
      <c r="O136" s="9" t="s">
        <v>107</v>
      </c>
      <c r="P136" s="9" t="s">
        <v>107</v>
      </c>
      <c r="Q136" s="9" t="s">
        <v>980</v>
      </c>
      <c r="R136" s="9" t="s">
        <v>107</v>
      </c>
      <c r="S136" s="9" t="s">
        <v>107</v>
      </c>
      <c r="T136" s="34" t="str">
        <f t="array" ref="T136">INDEX(Gazetteer!$T$3:$T$9941,MATCH(1,(Q136=Gazetteer!$C$3:$C$9941)*(R136=Gazetteer!$D$3:$D$9941)*(S136=Gazetteer!$E$3:$E$9941),0))</f>
        <v>-</v>
      </c>
      <c r="U136" s="34" t="str">
        <f t="array" ref="U136">INDEX(Gazetteer!$U$3:$U$9941,MATCH(1,(Q136=Gazetteer!$C$3:$C$9941)*(R136=Gazetteer!$D$3:$D$9941)*(S136=Gazetteer!$E$3:$E$9941),0))</f>
        <v>-</v>
      </c>
      <c r="V136" s="34">
        <f>INDEX(Ref!C:C,MATCH(W136,Ref!B:B,0))</f>
        <v>2017</v>
      </c>
      <c r="W136" s="36" t="s">
        <v>1165</v>
      </c>
      <c r="X136" s="5" t="s">
        <v>957</v>
      </c>
      <c r="Y136" s="11" t="s">
        <v>906</v>
      </c>
      <c r="Z136" s="5" t="s">
        <v>107</v>
      </c>
      <c r="AA136" t="s">
        <v>107</v>
      </c>
    </row>
    <row r="137" spans="1:27" x14ac:dyDescent="0.2">
      <c r="A137" s="5">
        <v>594</v>
      </c>
      <c r="B137" s="29" t="s">
        <v>874</v>
      </c>
      <c r="C137" s="29" t="s">
        <v>121</v>
      </c>
      <c r="D137" s="29" t="s">
        <v>123</v>
      </c>
      <c r="E137" s="30" t="s">
        <v>93</v>
      </c>
      <c r="F137" s="4" t="s">
        <v>57</v>
      </c>
      <c r="G137" s="29" t="s">
        <v>707</v>
      </c>
      <c r="H137" s="4" t="s">
        <v>107</v>
      </c>
      <c r="I137" t="s">
        <v>150</v>
      </c>
      <c r="J137" s="4" t="s">
        <v>107</v>
      </c>
      <c r="K137" s="9" t="s">
        <v>107</v>
      </c>
      <c r="L137" s="10" t="s">
        <v>107</v>
      </c>
      <c r="M137" s="10" t="s">
        <v>107</v>
      </c>
      <c r="N137" s="9" t="s">
        <v>107</v>
      </c>
      <c r="O137" s="9" t="s">
        <v>107</v>
      </c>
      <c r="P137" s="9" t="s">
        <v>107</v>
      </c>
      <c r="Q137" s="9" t="s">
        <v>970</v>
      </c>
      <c r="R137" s="9" t="s">
        <v>107</v>
      </c>
      <c r="S137" s="9" t="s">
        <v>107</v>
      </c>
      <c r="T137" s="34" t="str">
        <f t="array" ref="T137">INDEX(Gazetteer!$T$3:$T$9941,MATCH(1,(Q137=Gazetteer!$C$3:$C$9941)*(R137=Gazetteer!$D$3:$D$9941)*(S137=Gazetteer!$E$3:$E$9941),0))</f>
        <v>-</v>
      </c>
      <c r="U137" s="34" t="str">
        <f t="array" ref="U137">INDEX(Gazetteer!$U$3:$U$9941,MATCH(1,(Q137=Gazetteer!$C$3:$C$9941)*(R137=Gazetteer!$D$3:$D$9941)*(S137=Gazetteer!$E$3:$E$9941),0))</f>
        <v>-</v>
      </c>
      <c r="V137" s="34">
        <f>INDEX(Ref!C:C,MATCH(W137,Ref!B:B,0))</f>
        <v>2017</v>
      </c>
      <c r="W137" s="36" t="s">
        <v>1165</v>
      </c>
      <c r="X137" s="5" t="s">
        <v>957</v>
      </c>
      <c r="Y137" s="11" t="s">
        <v>988</v>
      </c>
      <c r="Z137" s="5" t="s">
        <v>107</v>
      </c>
      <c r="AA137" t="s">
        <v>107</v>
      </c>
    </row>
    <row r="138" spans="1:27" x14ac:dyDescent="0.2">
      <c r="A138" s="5">
        <v>126</v>
      </c>
      <c r="B138" s="29" t="s">
        <v>874</v>
      </c>
      <c r="C138" s="29" t="s">
        <v>121</v>
      </c>
      <c r="D138" s="29" t="s">
        <v>123</v>
      </c>
      <c r="E138" s="30" t="s">
        <v>93</v>
      </c>
      <c r="F138" s="4" t="s">
        <v>57</v>
      </c>
      <c r="G138" s="29" t="s">
        <v>707</v>
      </c>
      <c r="H138" s="4" t="s">
        <v>107</v>
      </c>
      <c r="I138" t="s">
        <v>150</v>
      </c>
      <c r="J138" s="8" t="s">
        <v>107</v>
      </c>
      <c r="K138" s="9" t="s">
        <v>107</v>
      </c>
      <c r="L138" s="10" t="s">
        <v>107</v>
      </c>
      <c r="M138" s="10" t="s">
        <v>130</v>
      </c>
      <c r="N138" s="9" t="s">
        <v>177</v>
      </c>
      <c r="O138" s="9" t="s">
        <v>107</v>
      </c>
      <c r="P138" s="23" t="s">
        <v>107</v>
      </c>
      <c r="Q138" s="9" t="s">
        <v>191</v>
      </c>
      <c r="R138" s="9" t="s">
        <v>520</v>
      </c>
      <c r="S138" s="9" t="s">
        <v>521</v>
      </c>
      <c r="T138" s="34" t="str">
        <f t="array" ref="T138">INDEX(Gazetteer!$T$3:$T$9941,MATCH(1,(Q138=Gazetteer!$C$3:$C$9941)*(R138=Gazetteer!$D$3:$D$9941)*(S138=Gazetteer!$E$3:$E$9941),0))</f>
        <v>49º30.10′N</v>
      </c>
      <c r="U138" s="34" t="str">
        <f t="array" ref="U138">INDEX(Gazetteer!$U$3:$U$9941,MATCH(1,(Q138=Gazetteer!$C$3:$C$9941)*(R138=Gazetteer!$D$3:$D$9941)*(S138=Gazetteer!$E$3:$E$9941),0))</f>
        <v>013º17.67′E</v>
      </c>
      <c r="V138" s="34">
        <f>INDEX(Ref!C:C,MATCH(W138,Ref!B:B,0))</f>
        <v>2003</v>
      </c>
      <c r="W138" s="37" t="s">
        <v>1225</v>
      </c>
      <c r="X138" s="5">
        <v>224</v>
      </c>
      <c r="Y138" s="11" t="s">
        <v>107</v>
      </c>
      <c r="Z138" s="5" t="s">
        <v>107</v>
      </c>
      <c r="AA138" t="s">
        <v>107</v>
      </c>
    </row>
    <row r="139" spans="1:27" x14ac:dyDescent="0.2">
      <c r="A139" s="5">
        <v>127</v>
      </c>
      <c r="B139" s="29" t="s">
        <v>874</v>
      </c>
      <c r="C139" s="29" t="s">
        <v>121</v>
      </c>
      <c r="D139" s="29" t="s">
        <v>123</v>
      </c>
      <c r="E139" s="30" t="s">
        <v>93</v>
      </c>
      <c r="F139" s="4" t="s">
        <v>57</v>
      </c>
      <c r="G139" s="29" t="s">
        <v>707</v>
      </c>
      <c r="H139" s="4" t="s">
        <v>107</v>
      </c>
      <c r="I139" t="s">
        <v>150</v>
      </c>
      <c r="J139" s="8" t="s">
        <v>107</v>
      </c>
      <c r="K139" s="9" t="s">
        <v>107</v>
      </c>
      <c r="L139" s="10" t="s">
        <v>107</v>
      </c>
      <c r="M139" s="10" t="s">
        <v>156</v>
      </c>
      <c r="N139" s="9" t="s">
        <v>177</v>
      </c>
      <c r="O139" s="9" t="s">
        <v>107</v>
      </c>
      <c r="P139" s="23" t="s">
        <v>107</v>
      </c>
      <c r="Q139" s="9" t="s">
        <v>191</v>
      </c>
      <c r="R139" s="9" t="s">
        <v>520</v>
      </c>
      <c r="S139" s="9" t="s">
        <v>521</v>
      </c>
      <c r="T139" s="34" t="str">
        <f t="array" ref="T139">INDEX(Gazetteer!$T$3:$T$9941,MATCH(1,(Q139=Gazetteer!$C$3:$C$9941)*(R139=Gazetteer!$D$3:$D$9941)*(S139=Gazetteer!$E$3:$E$9941),0))</f>
        <v>49º30.10′N</v>
      </c>
      <c r="U139" s="34" t="str">
        <f t="array" ref="U139">INDEX(Gazetteer!$U$3:$U$9941,MATCH(1,(Q139=Gazetteer!$C$3:$C$9941)*(R139=Gazetteer!$D$3:$D$9941)*(S139=Gazetteer!$E$3:$E$9941),0))</f>
        <v>013º17.67′E</v>
      </c>
      <c r="V139" s="34">
        <f>INDEX(Ref!C:C,MATCH(W139,Ref!B:B,0))</f>
        <v>2003</v>
      </c>
      <c r="W139" s="37" t="s">
        <v>1225</v>
      </c>
      <c r="X139" s="5">
        <v>224</v>
      </c>
      <c r="Y139" s="11" t="s">
        <v>107</v>
      </c>
      <c r="Z139" s="5" t="s">
        <v>107</v>
      </c>
      <c r="AA139" t="s">
        <v>107</v>
      </c>
    </row>
    <row r="140" spans="1:27" x14ac:dyDescent="0.2">
      <c r="A140" s="5">
        <v>246</v>
      </c>
      <c r="B140" s="29" t="s">
        <v>874</v>
      </c>
      <c r="C140" s="29" t="s">
        <v>121</v>
      </c>
      <c r="D140" s="29" t="s">
        <v>123</v>
      </c>
      <c r="E140" s="30" t="s">
        <v>93</v>
      </c>
      <c r="F140" s="4" t="s">
        <v>57</v>
      </c>
      <c r="G140" s="29" t="s">
        <v>707</v>
      </c>
      <c r="H140" s="4" t="s">
        <v>107</v>
      </c>
      <c r="I140" t="s">
        <v>150</v>
      </c>
      <c r="J140" s="4" t="s">
        <v>107</v>
      </c>
      <c r="K140" s="9" t="s">
        <v>107</v>
      </c>
      <c r="L140" s="10" t="s">
        <v>107</v>
      </c>
      <c r="M140" s="10" t="s">
        <v>107</v>
      </c>
      <c r="N140" s="9" t="s">
        <v>107</v>
      </c>
      <c r="O140" s="9" t="s">
        <v>107</v>
      </c>
      <c r="P140" s="9" t="s">
        <v>107</v>
      </c>
      <c r="Q140" s="9" t="s">
        <v>456</v>
      </c>
      <c r="R140" s="9" t="s">
        <v>775</v>
      </c>
      <c r="S140" s="9" t="s">
        <v>774</v>
      </c>
      <c r="T140" s="34" t="str">
        <f t="array" ref="T140">INDEX(Gazetteer!$T$3:$T$9941,MATCH(1,(Q140=Gazetteer!$C$3:$C$9941)*(R140=Gazetteer!$D$3:$D$9941)*(S140=Gazetteer!$E$3:$E$9941),0))</f>
        <v>-</v>
      </c>
      <c r="U140" s="34" t="str">
        <f t="array" ref="U140">INDEX(Gazetteer!$U$3:$U$9941,MATCH(1,(Q140=Gazetteer!$C$3:$C$9941)*(R140=Gazetteer!$D$3:$D$9941)*(S140=Gazetteer!$E$3:$E$9941),0))</f>
        <v>-</v>
      </c>
      <c r="V140" s="34">
        <f>INDEX(Ref!C:C,MATCH(W140,Ref!B:B,0))</f>
        <v>2005</v>
      </c>
      <c r="W140" s="38" t="s">
        <v>1167</v>
      </c>
      <c r="X140" s="5">
        <v>25</v>
      </c>
      <c r="Y140" s="11" t="s">
        <v>107</v>
      </c>
      <c r="Z140" s="5" t="s">
        <v>107</v>
      </c>
      <c r="AA140" t="s">
        <v>107</v>
      </c>
    </row>
    <row r="141" spans="1:27" x14ac:dyDescent="0.2">
      <c r="A141" s="5">
        <v>242</v>
      </c>
      <c r="B141" s="29" t="s">
        <v>874</v>
      </c>
      <c r="C141" s="29" t="s">
        <v>121</v>
      </c>
      <c r="D141" s="29" t="s">
        <v>123</v>
      </c>
      <c r="E141" s="30" t="s">
        <v>93</v>
      </c>
      <c r="F141" s="4" t="s">
        <v>57</v>
      </c>
      <c r="G141" s="29" t="s">
        <v>707</v>
      </c>
      <c r="H141" s="4" t="s">
        <v>107</v>
      </c>
      <c r="I141" t="s">
        <v>150</v>
      </c>
      <c r="J141" s="4" t="s">
        <v>107</v>
      </c>
      <c r="K141" s="9" t="s">
        <v>107</v>
      </c>
      <c r="L141" s="10" t="s">
        <v>107</v>
      </c>
      <c r="M141" s="10" t="s">
        <v>107</v>
      </c>
      <c r="N141" s="9" t="s">
        <v>177</v>
      </c>
      <c r="O141" s="9" t="s">
        <v>107</v>
      </c>
      <c r="P141" s="9" t="s">
        <v>184</v>
      </c>
      <c r="Q141" s="9" t="s">
        <v>456</v>
      </c>
      <c r="R141" s="9" t="s">
        <v>766</v>
      </c>
      <c r="S141" s="9" t="s">
        <v>767</v>
      </c>
      <c r="T141" s="34" t="str">
        <f t="array" ref="T141">INDEX(Gazetteer!$T$3:$T$9941,MATCH(1,(Q141=Gazetteer!$C$3:$C$9941)*(R141=Gazetteer!$D$3:$D$9941)*(S141=Gazetteer!$E$3:$E$9941),0))</f>
        <v>45º09.12′N</v>
      </c>
      <c r="U141" s="34" t="str">
        <f t="array" ref="U141">INDEX(Gazetteer!$U$3:$U$9941,MATCH(1,(Q141=Gazetteer!$C$3:$C$9941)*(R141=Gazetteer!$D$3:$D$9941)*(S141=Gazetteer!$E$3:$E$9941),0))</f>
        <v>002º00.60′E</v>
      </c>
      <c r="V141" s="34">
        <f>INDEX(Ref!C:C,MATCH(W141,Ref!B:B,0))</f>
        <v>2005</v>
      </c>
      <c r="W141" s="38" t="s">
        <v>1167</v>
      </c>
      <c r="X141" s="5">
        <v>23</v>
      </c>
      <c r="Y141" s="11" t="s">
        <v>107</v>
      </c>
      <c r="Z141" s="5" t="s">
        <v>107</v>
      </c>
      <c r="AA141" t="s">
        <v>107</v>
      </c>
    </row>
    <row r="142" spans="1:27" x14ac:dyDescent="0.2">
      <c r="A142" s="5">
        <v>590</v>
      </c>
      <c r="B142" s="29" t="s">
        <v>874</v>
      </c>
      <c r="C142" s="29" t="s">
        <v>121</v>
      </c>
      <c r="D142" s="29" t="s">
        <v>123</v>
      </c>
      <c r="E142" s="30" t="s">
        <v>93</v>
      </c>
      <c r="F142" s="4" t="s">
        <v>57</v>
      </c>
      <c r="G142" s="29" t="s">
        <v>707</v>
      </c>
      <c r="H142" s="4" t="s">
        <v>107</v>
      </c>
      <c r="I142" t="s">
        <v>150</v>
      </c>
      <c r="J142" s="4" t="s">
        <v>107</v>
      </c>
      <c r="K142" s="9" t="s">
        <v>107</v>
      </c>
      <c r="L142" s="10" t="s">
        <v>107</v>
      </c>
      <c r="M142" s="10" t="s">
        <v>107</v>
      </c>
      <c r="N142" s="9" t="s">
        <v>107</v>
      </c>
      <c r="O142" s="9" t="s">
        <v>107</v>
      </c>
      <c r="P142" s="9" t="s">
        <v>178</v>
      </c>
      <c r="Q142" s="9" t="s">
        <v>904</v>
      </c>
      <c r="R142" s="9" t="s">
        <v>107</v>
      </c>
      <c r="S142" s="9" t="s">
        <v>107</v>
      </c>
      <c r="T142" s="34" t="str">
        <f t="array" ref="T142">INDEX(Gazetteer!$T$3:$T$9941,MATCH(1,(Q142=Gazetteer!$C$3:$C$9941)*(R142=Gazetteer!$D$3:$D$9941)*(S142=Gazetteer!$E$3:$E$9941),0))</f>
        <v>-</v>
      </c>
      <c r="U142" s="34" t="str">
        <f t="array" ref="U142">INDEX(Gazetteer!$U$3:$U$9941,MATCH(1,(Q142=Gazetteer!$C$3:$C$9941)*(R142=Gazetteer!$D$3:$D$9941)*(S142=Gazetteer!$E$3:$E$9941),0))</f>
        <v>-</v>
      </c>
      <c r="V142" s="34">
        <f>INDEX(Ref!C:C,MATCH(W142,Ref!B:B,0))</f>
        <v>2017</v>
      </c>
      <c r="W142" s="36" t="s">
        <v>1165</v>
      </c>
      <c r="X142" s="5" t="s">
        <v>957</v>
      </c>
      <c r="Y142" s="11" t="s">
        <v>991</v>
      </c>
      <c r="Z142" s="5" t="s">
        <v>107</v>
      </c>
      <c r="AA142" t="s">
        <v>107</v>
      </c>
    </row>
    <row r="143" spans="1:27" x14ac:dyDescent="0.2">
      <c r="A143" s="5">
        <v>128</v>
      </c>
      <c r="B143" s="29" t="s">
        <v>874</v>
      </c>
      <c r="C143" s="29" t="s">
        <v>121</v>
      </c>
      <c r="D143" s="29" t="s">
        <v>123</v>
      </c>
      <c r="E143" s="30" t="s">
        <v>93</v>
      </c>
      <c r="F143" s="4" t="s">
        <v>57</v>
      </c>
      <c r="G143" s="29" t="s">
        <v>707</v>
      </c>
      <c r="H143" s="4" t="s">
        <v>107</v>
      </c>
      <c r="I143" t="s">
        <v>150</v>
      </c>
      <c r="J143" s="8" t="s">
        <v>107</v>
      </c>
      <c r="K143" s="9" t="s">
        <v>107</v>
      </c>
      <c r="L143" s="10" t="s">
        <v>107</v>
      </c>
      <c r="M143" s="10" t="s">
        <v>130</v>
      </c>
      <c r="N143" s="9" t="s">
        <v>177</v>
      </c>
      <c r="O143" s="9" t="s">
        <v>107</v>
      </c>
      <c r="P143" s="9" t="s">
        <v>178</v>
      </c>
      <c r="Q143" s="9" t="s">
        <v>179</v>
      </c>
      <c r="R143" s="9" t="s">
        <v>522</v>
      </c>
      <c r="S143" s="9" t="s">
        <v>523</v>
      </c>
      <c r="T143" s="34" t="str">
        <f t="array" ref="T143">INDEX(Gazetteer!$T$3:$T$9941,MATCH(1,(Q143=Gazetteer!$C$3:$C$9941)*(R143=Gazetteer!$D$3:$D$9941)*(S143=Gazetteer!$E$3:$E$9941),0))</f>
        <v>48º09.00′N</v>
      </c>
      <c r="U143" s="34" t="str">
        <f t="array" ref="U143">INDEX(Gazetteer!$U$3:$U$9941,MATCH(1,(Q143=Gazetteer!$C$3:$C$9941)*(R143=Gazetteer!$D$3:$D$9941)*(S143=Gazetteer!$E$3:$E$9941),0))</f>
        <v>019º06.00′E</v>
      </c>
      <c r="V143" s="34">
        <f>INDEX(Ref!C:C,MATCH(W143,Ref!B:B,0))</f>
        <v>2003</v>
      </c>
      <c r="W143" s="37" t="s">
        <v>1225</v>
      </c>
      <c r="X143" s="5">
        <v>223</v>
      </c>
      <c r="Y143" s="11" t="s">
        <v>107</v>
      </c>
      <c r="Z143" s="5" t="s">
        <v>107</v>
      </c>
      <c r="AA143" t="s">
        <v>107</v>
      </c>
    </row>
    <row r="144" spans="1:27" x14ac:dyDescent="0.2">
      <c r="A144" s="5">
        <v>312</v>
      </c>
      <c r="B144" s="29" t="s">
        <v>874</v>
      </c>
      <c r="C144" s="29" t="s">
        <v>121</v>
      </c>
      <c r="D144" s="29" t="s">
        <v>123</v>
      </c>
      <c r="E144" s="30" t="s">
        <v>93</v>
      </c>
      <c r="F144" s="4" t="s">
        <v>70</v>
      </c>
      <c r="G144" s="29" t="s">
        <v>698</v>
      </c>
      <c r="H144" s="4" t="s">
        <v>107</v>
      </c>
      <c r="I144" t="s">
        <v>150</v>
      </c>
      <c r="J144" s="4" t="s">
        <v>107</v>
      </c>
      <c r="K144" s="9" t="s">
        <v>107</v>
      </c>
      <c r="L144" s="10" t="s">
        <v>107</v>
      </c>
      <c r="M144" s="10" t="s">
        <v>107</v>
      </c>
      <c r="N144" s="9" t="s">
        <v>107</v>
      </c>
      <c r="O144" s="9" t="s">
        <v>107</v>
      </c>
      <c r="P144" s="9" t="s">
        <v>107</v>
      </c>
      <c r="Q144" s="9" t="s">
        <v>107</v>
      </c>
      <c r="R144" s="9" t="s">
        <v>107</v>
      </c>
      <c r="S144" s="9" t="s">
        <v>107</v>
      </c>
      <c r="T144" s="34" t="str">
        <f t="array" ref="T144">INDEX(Gazetteer!$T$3:$T$9941,MATCH(1,(Q144=Gazetteer!$C$3:$C$9941)*(R144=Gazetteer!$D$3:$D$9941)*(S144=Gazetteer!$E$3:$E$9941),0))</f>
        <v>-</v>
      </c>
      <c r="U144" s="34" t="str">
        <f t="array" ref="U144">INDEX(Gazetteer!$U$3:$U$9941,MATCH(1,(Q144=Gazetteer!$C$3:$C$9941)*(R144=Gazetteer!$D$3:$D$9941)*(S144=Gazetteer!$E$3:$E$9941),0))</f>
        <v>-</v>
      </c>
      <c r="V144" s="34">
        <f>INDEX(Ref!C:C,MATCH(W144,Ref!B:B,0))</f>
        <v>2000</v>
      </c>
      <c r="W144" s="36" t="s">
        <v>1169</v>
      </c>
      <c r="X144" s="5">
        <v>101</v>
      </c>
      <c r="Y144" s="11" t="s">
        <v>908</v>
      </c>
      <c r="Z144" s="5" t="s">
        <v>107</v>
      </c>
      <c r="AA144" t="s">
        <v>107</v>
      </c>
    </row>
    <row r="145" spans="1:27" x14ac:dyDescent="0.2">
      <c r="A145" s="5">
        <v>680</v>
      </c>
      <c r="B145" s="29" t="s">
        <v>874</v>
      </c>
      <c r="C145" s="29" t="s">
        <v>121</v>
      </c>
      <c r="D145" s="29" t="s">
        <v>123</v>
      </c>
      <c r="E145" s="30" t="s">
        <v>93</v>
      </c>
      <c r="F145" s="4" t="s">
        <v>70</v>
      </c>
      <c r="G145" s="29" t="s">
        <v>698</v>
      </c>
      <c r="H145" s="4" t="s">
        <v>107</v>
      </c>
      <c r="I145" t="s">
        <v>150</v>
      </c>
      <c r="J145" s="4" t="s">
        <v>107</v>
      </c>
      <c r="K145" s="9" t="s">
        <v>107</v>
      </c>
      <c r="L145" s="10" t="s">
        <v>107</v>
      </c>
      <c r="M145" s="10" t="s">
        <v>156</v>
      </c>
      <c r="N145" s="9" t="s">
        <v>107</v>
      </c>
      <c r="O145" s="9" t="s">
        <v>107</v>
      </c>
      <c r="P145" s="9" t="s">
        <v>178</v>
      </c>
      <c r="Q145" s="9" t="s">
        <v>625</v>
      </c>
      <c r="R145" s="9" t="s">
        <v>628</v>
      </c>
      <c r="S145" s="9" t="s">
        <v>632</v>
      </c>
      <c r="T145" s="34" t="str">
        <f t="array" ref="T145">INDEX(Gazetteer!$T$3:$T$9941,MATCH(1,(Q145=Gazetteer!$C$3:$C$9941)*(R145=Gazetteer!$D$3:$D$9941)*(S145=Gazetteer!$E$3:$E$9941),0))</f>
        <v>-</v>
      </c>
      <c r="U145" s="34" t="str">
        <f t="array" ref="U145">INDEX(Gazetteer!$U$3:$U$9941,MATCH(1,(Q145=Gazetteer!$C$3:$C$9941)*(R145=Gazetteer!$D$3:$D$9941)*(S145=Gazetteer!$E$3:$E$9941),0))</f>
        <v>-</v>
      </c>
      <c r="V145" s="34">
        <f>INDEX(Ref!C:C,MATCH(W145,Ref!B:B,0))</f>
        <v>2014</v>
      </c>
      <c r="W145" s="38" t="s">
        <v>1216</v>
      </c>
      <c r="X145" s="5">
        <v>292</v>
      </c>
      <c r="Y145" s="11" t="s">
        <v>107</v>
      </c>
      <c r="Z145" s="5" t="s">
        <v>107</v>
      </c>
      <c r="AA145" t="s">
        <v>107</v>
      </c>
    </row>
    <row r="146" spans="1:27" x14ac:dyDescent="0.2">
      <c r="A146" s="5">
        <v>602</v>
      </c>
      <c r="B146" s="29" t="s">
        <v>874</v>
      </c>
      <c r="C146" s="29" t="s">
        <v>121</v>
      </c>
      <c r="D146" s="29" t="s">
        <v>123</v>
      </c>
      <c r="E146" s="30" t="s">
        <v>93</v>
      </c>
      <c r="F146" s="4" t="s">
        <v>716</v>
      </c>
      <c r="G146" s="29" t="s">
        <v>698</v>
      </c>
      <c r="H146" s="4" t="s">
        <v>107</v>
      </c>
      <c r="I146" t="s">
        <v>150</v>
      </c>
      <c r="J146" s="4" t="s">
        <v>107</v>
      </c>
      <c r="K146" s="9" t="s">
        <v>107</v>
      </c>
      <c r="L146" s="10" t="s">
        <v>107</v>
      </c>
      <c r="M146" s="10" t="s">
        <v>107</v>
      </c>
      <c r="N146" s="9" t="s">
        <v>107</v>
      </c>
      <c r="O146" s="9" t="s">
        <v>107</v>
      </c>
      <c r="P146" s="9" t="s">
        <v>107</v>
      </c>
      <c r="Q146" s="9" t="s">
        <v>456</v>
      </c>
      <c r="R146" s="9" t="s">
        <v>107</v>
      </c>
      <c r="S146" s="9" t="s">
        <v>107</v>
      </c>
      <c r="T146" s="34" t="str">
        <f t="array" ref="T146">INDEX(Gazetteer!$T$3:$T$9941,MATCH(1,(Q146=Gazetteer!$C$3:$C$9941)*(R146=Gazetteer!$D$3:$D$9941)*(S146=Gazetteer!$E$3:$E$9941),0))</f>
        <v>-</v>
      </c>
      <c r="U146" s="34" t="str">
        <f t="array" ref="U146">INDEX(Gazetteer!$U$3:$U$9941,MATCH(1,(Q146=Gazetteer!$C$3:$C$9941)*(R146=Gazetteer!$D$3:$D$9941)*(S146=Gazetteer!$E$3:$E$9941),0))</f>
        <v>-</v>
      </c>
      <c r="V146" s="34">
        <f>INDEX(Ref!C:C,MATCH(W146,Ref!B:B,0))</f>
        <v>2017</v>
      </c>
      <c r="W146" s="36" t="s">
        <v>1165</v>
      </c>
      <c r="X146" s="5" t="s">
        <v>957</v>
      </c>
      <c r="Y146" s="11" t="s">
        <v>992</v>
      </c>
      <c r="Z146" s="5" t="s">
        <v>107</v>
      </c>
      <c r="AA146" t="s">
        <v>107</v>
      </c>
    </row>
    <row r="147" spans="1:27" x14ac:dyDescent="0.2">
      <c r="A147" s="5">
        <v>603</v>
      </c>
      <c r="B147" s="29" t="s">
        <v>874</v>
      </c>
      <c r="C147" s="29" t="s">
        <v>121</v>
      </c>
      <c r="D147" s="29" t="s">
        <v>123</v>
      </c>
      <c r="E147" s="30" t="s">
        <v>93</v>
      </c>
      <c r="F147" s="4" t="s">
        <v>716</v>
      </c>
      <c r="G147" s="29" t="s">
        <v>698</v>
      </c>
      <c r="H147" s="4" t="s">
        <v>107</v>
      </c>
      <c r="I147" t="s">
        <v>150</v>
      </c>
      <c r="J147" s="4" t="s">
        <v>107</v>
      </c>
      <c r="K147" s="9" t="s">
        <v>107</v>
      </c>
      <c r="L147" s="10" t="s">
        <v>107</v>
      </c>
      <c r="M147" s="10" t="s">
        <v>107</v>
      </c>
      <c r="N147" s="9" t="s">
        <v>107</v>
      </c>
      <c r="O147" s="9" t="s">
        <v>107</v>
      </c>
      <c r="P147" s="9" t="s">
        <v>157</v>
      </c>
      <c r="Q147" s="9" t="s">
        <v>904</v>
      </c>
      <c r="R147" s="9" t="s">
        <v>107</v>
      </c>
      <c r="S147" s="9" t="s">
        <v>107</v>
      </c>
      <c r="T147" s="34" t="str">
        <f t="array" ref="T147">INDEX(Gazetteer!$T$3:$T$9941,MATCH(1,(Q147=Gazetteer!$C$3:$C$9941)*(R147=Gazetteer!$D$3:$D$9941)*(S147=Gazetteer!$E$3:$E$9941),0))</f>
        <v>-</v>
      </c>
      <c r="U147" s="34" t="str">
        <f t="array" ref="U147">INDEX(Gazetteer!$U$3:$U$9941,MATCH(1,(Q147=Gazetteer!$C$3:$C$9941)*(R147=Gazetteer!$D$3:$D$9941)*(S147=Gazetteer!$E$3:$E$9941),0))</f>
        <v>-</v>
      </c>
      <c r="V147" s="34">
        <f>INDEX(Ref!C:C,MATCH(W147,Ref!B:B,0))</f>
        <v>2017</v>
      </c>
      <c r="W147" s="36" t="s">
        <v>1165</v>
      </c>
      <c r="X147" s="5" t="s">
        <v>957</v>
      </c>
      <c r="Y147" s="11" t="s">
        <v>991</v>
      </c>
      <c r="Z147" s="5" t="s">
        <v>107</v>
      </c>
      <c r="AA147" t="s">
        <v>107</v>
      </c>
    </row>
    <row r="148" spans="1:27" x14ac:dyDescent="0.2">
      <c r="A148" s="5">
        <v>613</v>
      </c>
      <c r="B148" s="29" t="s">
        <v>874</v>
      </c>
      <c r="C148" s="29" t="s">
        <v>121</v>
      </c>
      <c r="D148" s="29" t="s">
        <v>123</v>
      </c>
      <c r="E148" s="30" t="s">
        <v>93</v>
      </c>
      <c r="F148" s="4" t="s">
        <v>58</v>
      </c>
      <c r="G148" s="29" t="s">
        <v>708</v>
      </c>
      <c r="H148" s="4" t="s">
        <v>107</v>
      </c>
      <c r="I148" t="s">
        <v>978</v>
      </c>
      <c r="J148" s="4" t="s">
        <v>107</v>
      </c>
      <c r="K148" s="9" t="s">
        <v>107</v>
      </c>
      <c r="L148" s="10" t="s">
        <v>107</v>
      </c>
      <c r="M148" s="10" t="s">
        <v>107</v>
      </c>
      <c r="N148" s="9" t="s">
        <v>107</v>
      </c>
      <c r="O148" s="9" t="s">
        <v>107</v>
      </c>
      <c r="P148" s="9" t="s">
        <v>157</v>
      </c>
      <c r="Q148" s="9" t="s">
        <v>433</v>
      </c>
      <c r="R148" s="9" t="s">
        <v>107</v>
      </c>
      <c r="S148" s="9" t="s">
        <v>107</v>
      </c>
      <c r="T148" s="34" t="str">
        <f t="array" ref="T148">INDEX(Gazetteer!$T$3:$T$9941,MATCH(1,(Q148=Gazetteer!$C$3:$C$9941)*(R148=Gazetteer!$D$3:$D$9941)*(S148=Gazetteer!$E$3:$E$9941),0))</f>
        <v>-</v>
      </c>
      <c r="U148" s="34" t="str">
        <f t="array" ref="U148">INDEX(Gazetteer!$U$3:$U$9941,MATCH(1,(Q148=Gazetteer!$C$3:$C$9941)*(R148=Gazetteer!$D$3:$D$9941)*(S148=Gazetteer!$E$3:$E$9941),0))</f>
        <v>-</v>
      </c>
      <c r="V148" s="34">
        <f>INDEX(Ref!C:C,MATCH(W148,Ref!B:B,0))</f>
        <v>2017</v>
      </c>
      <c r="W148" s="36" t="s">
        <v>1165</v>
      </c>
      <c r="X148" s="5" t="s">
        <v>957</v>
      </c>
      <c r="Y148" s="11" t="s">
        <v>909</v>
      </c>
      <c r="Z148" s="5" t="s">
        <v>107</v>
      </c>
      <c r="AA148" t="s">
        <v>107</v>
      </c>
    </row>
    <row r="149" spans="1:27" x14ac:dyDescent="0.2">
      <c r="A149" s="5">
        <v>95</v>
      </c>
      <c r="B149" s="29" t="s">
        <v>874</v>
      </c>
      <c r="C149" s="29" t="s">
        <v>121</v>
      </c>
      <c r="D149" s="29" t="s">
        <v>123</v>
      </c>
      <c r="E149" s="30" t="s">
        <v>93</v>
      </c>
      <c r="F149" s="4" t="s">
        <v>58</v>
      </c>
      <c r="G149" s="29" t="s">
        <v>708</v>
      </c>
      <c r="H149" s="4" t="s">
        <v>107</v>
      </c>
      <c r="I149" t="s">
        <v>150</v>
      </c>
      <c r="J149" s="4" t="s">
        <v>107</v>
      </c>
      <c r="K149" s="9" t="s">
        <v>107</v>
      </c>
      <c r="L149" s="10" t="s">
        <v>107</v>
      </c>
      <c r="M149" s="10" t="s">
        <v>130</v>
      </c>
      <c r="N149" s="9" t="s">
        <v>107</v>
      </c>
      <c r="O149" s="9" t="s">
        <v>107</v>
      </c>
      <c r="P149" s="9" t="s">
        <v>157</v>
      </c>
      <c r="Q149" s="9" t="s">
        <v>433</v>
      </c>
      <c r="R149" s="9" t="s">
        <v>443</v>
      </c>
      <c r="S149" s="9" t="s">
        <v>445</v>
      </c>
      <c r="T149" s="34" t="str">
        <f t="array" ref="T149">INDEX(Gazetteer!$T$3:$T$9941,MATCH(1,(Q149=Gazetteer!$C$3:$C$9941)*(R149=Gazetteer!$D$3:$D$9941)*(S149=Gazetteer!$E$3:$E$9941),0))</f>
        <v>38º05.00′N</v>
      </c>
      <c r="U149" s="34" t="str">
        <f t="array" ref="U149">INDEX(Gazetteer!$U$3:$U$9941,MATCH(1,(Q149=Gazetteer!$C$3:$C$9941)*(R149=Gazetteer!$D$3:$D$9941)*(S149=Gazetteer!$E$3:$E$9941),0))</f>
        <v>091º00.00′W</v>
      </c>
      <c r="V149" s="34">
        <f>INDEX(Ref!C:C,MATCH(W149,Ref!B:B,0))</f>
        <v>1988</v>
      </c>
      <c r="W149" s="39" t="s">
        <v>1226</v>
      </c>
      <c r="X149" s="5">
        <v>76</v>
      </c>
      <c r="Y149" s="11" t="s">
        <v>107</v>
      </c>
      <c r="Z149" s="5" t="s">
        <v>107</v>
      </c>
      <c r="AA149" t="s">
        <v>107</v>
      </c>
    </row>
    <row r="150" spans="1:27" x14ac:dyDescent="0.2">
      <c r="A150" s="5">
        <v>96</v>
      </c>
      <c r="B150" s="29" t="s">
        <v>874</v>
      </c>
      <c r="C150" s="29" t="s">
        <v>121</v>
      </c>
      <c r="D150" s="29" t="s">
        <v>123</v>
      </c>
      <c r="E150" s="30" t="s">
        <v>93</v>
      </c>
      <c r="F150" s="4" t="s">
        <v>59</v>
      </c>
      <c r="G150" s="29" t="s">
        <v>871</v>
      </c>
      <c r="H150" s="4" t="s">
        <v>107</v>
      </c>
      <c r="I150" t="s">
        <v>150</v>
      </c>
      <c r="J150" s="4" t="s">
        <v>107</v>
      </c>
      <c r="K150" s="9" t="s">
        <v>107</v>
      </c>
      <c r="L150" s="10" t="s">
        <v>107</v>
      </c>
      <c r="M150" s="10" t="s">
        <v>156</v>
      </c>
      <c r="N150" s="9" t="s">
        <v>189</v>
      </c>
      <c r="O150" s="9" t="s">
        <v>190</v>
      </c>
      <c r="P150" s="9" t="s">
        <v>157</v>
      </c>
      <c r="Q150" s="9" t="s">
        <v>433</v>
      </c>
      <c r="R150" s="9" t="s">
        <v>444</v>
      </c>
      <c r="S150" s="9" t="s">
        <v>446</v>
      </c>
      <c r="T150" s="34" t="str">
        <f t="array" ref="T150">INDEX(Gazetteer!$T$3:$T$9941,MATCH(1,(Q150=Gazetteer!$C$3:$C$9941)*(R150=Gazetteer!$D$3:$D$9941)*(S150=Gazetteer!$E$3:$E$9941),0))</f>
        <v>36º41.92′N</v>
      </c>
      <c r="U150" s="34" t="str">
        <f t="array" ref="U150">INDEX(Gazetteer!$U$3:$U$9941,MATCH(1,(Q150=Gazetteer!$C$3:$C$9941)*(R150=Gazetteer!$D$3:$D$9941)*(S150=Gazetteer!$E$3:$E$9941),0))</f>
        <v>099º08.77′W</v>
      </c>
      <c r="V150" s="34">
        <f>INDEX(Ref!C:C,MATCH(W150,Ref!B:B,0))</f>
        <v>1988</v>
      </c>
      <c r="W150" s="39" t="s">
        <v>1226</v>
      </c>
      <c r="X150" s="5">
        <v>76</v>
      </c>
      <c r="Y150" s="11" t="s">
        <v>107</v>
      </c>
      <c r="Z150" s="5" t="s">
        <v>107</v>
      </c>
      <c r="AA150" t="s">
        <v>107</v>
      </c>
    </row>
  </sheetData>
  <autoFilter ref="A1:AA150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1.25" x14ac:dyDescent="0.2"/>
  <cols>
    <col min="1" max="1" width="5.83203125" style="5" customWidth="1"/>
    <col min="2" max="2" width="33.33203125" bestFit="1" customWidth="1"/>
    <col min="3" max="3" width="6.83203125" style="5" customWidth="1"/>
    <col min="5" max="5" width="81.33203125" style="20" customWidth="1"/>
    <col min="6" max="7" width="6.83203125" style="5" customWidth="1"/>
    <col min="8" max="8" width="51.5" bestFit="1" customWidth="1"/>
    <col min="9" max="10" width="6.83203125" style="5" customWidth="1"/>
  </cols>
  <sheetData>
    <row r="1" spans="1:10" ht="30" customHeight="1" x14ac:dyDescent="0.2">
      <c r="A1" s="1" t="s">
        <v>0</v>
      </c>
      <c r="B1" s="1" t="s">
        <v>19</v>
      </c>
      <c r="C1" s="1" t="s">
        <v>139</v>
      </c>
      <c r="D1" s="1" t="s">
        <v>140</v>
      </c>
      <c r="E1" s="1" t="s">
        <v>141</v>
      </c>
      <c r="F1" s="2" t="s">
        <v>142</v>
      </c>
      <c r="G1" s="2" t="s">
        <v>143</v>
      </c>
      <c r="H1" s="1" t="s">
        <v>144</v>
      </c>
      <c r="I1" s="1" t="s">
        <v>145</v>
      </c>
      <c r="J1" s="1" t="s">
        <v>146</v>
      </c>
    </row>
    <row r="2" spans="1:10" x14ac:dyDescent="0.2">
      <c r="A2" s="19">
        <v>25</v>
      </c>
      <c r="B2" s="39" t="str">
        <f>HYPERLINK("C:\Users\JPHoppe\Documents\Publicações\Artigos\Periódicos\K\Kempffiana\Vol 7\Issue 2\Acosta et al 2011.pdf","Acosta et al 2011")</f>
        <v>Acosta et al 2011</v>
      </c>
      <c r="C2" s="16">
        <v>2011</v>
      </c>
      <c r="D2" s="18" t="s">
        <v>998</v>
      </c>
      <c r="E2" s="18" t="s">
        <v>298</v>
      </c>
      <c r="F2" s="16">
        <v>19</v>
      </c>
      <c r="G2" s="16">
        <v>33</v>
      </c>
      <c r="H2" s="17" t="s">
        <v>271</v>
      </c>
      <c r="I2" s="16">
        <v>7</v>
      </c>
      <c r="J2" s="16">
        <v>2</v>
      </c>
    </row>
    <row r="3" spans="1:10" x14ac:dyDescent="0.2">
      <c r="A3" s="19">
        <v>49</v>
      </c>
      <c r="B3" s="39" t="str">
        <f>HYPERLINK("C:\Users\JPHoppe\Documents\Publicações\Artigos\Periódicos\M\Munibe Ciencias Naturales\Vol 57\Alcalde 2009.pdf","Alcalde 2009")</f>
        <v>Alcalde 2009</v>
      </c>
      <c r="C3" s="16">
        <v>2009</v>
      </c>
      <c r="D3" s="18" t="s">
        <v>999</v>
      </c>
      <c r="E3" s="18" t="s">
        <v>398</v>
      </c>
      <c r="F3" s="16">
        <v>225</v>
      </c>
      <c r="G3" s="16">
        <v>236</v>
      </c>
      <c r="H3" s="17" t="s">
        <v>397</v>
      </c>
      <c r="I3" s="16">
        <v>57</v>
      </c>
      <c r="J3" s="16" t="s">
        <v>107</v>
      </c>
    </row>
    <row r="4" spans="1:10" x14ac:dyDescent="0.2">
      <c r="A4" s="19">
        <v>5</v>
      </c>
      <c r="B4" s="41" t="s">
        <v>171</v>
      </c>
      <c r="C4" s="16">
        <v>1939</v>
      </c>
      <c r="D4" s="18" t="s">
        <v>1000</v>
      </c>
      <c r="E4" s="14" t="s">
        <v>172</v>
      </c>
      <c r="F4" s="16">
        <v>1</v>
      </c>
      <c r="G4" s="16">
        <v>368</v>
      </c>
      <c r="H4" s="20" t="s">
        <v>173</v>
      </c>
      <c r="I4" s="19" t="s">
        <v>107</v>
      </c>
      <c r="J4" s="19" t="s">
        <v>107</v>
      </c>
    </row>
    <row r="5" spans="1:10" x14ac:dyDescent="0.2">
      <c r="A5" s="19">
        <v>14</v>
      </c>
      <c r="B5" s="39" t="str">
        <f>HYPERLINK("C:\Users\JPHoppe\Documents\Publicações\Artigos\Periódicos\C\Current Science\Vol 90\Issue 7\Aul &amp; Marimuthu 2006.pdf","Aul &amp; Marimuthu 2006")</f>
        <v>Aul &amp; Marimuthu 2006</v>
      </c>
      <c r="C5" s="16">
        <v>2006</v>
      </c>
      <c r="D5" s="18" t="s">
        <v>1001</v>
      </c>
      <c r="E5" s="18" t="s">
        <v>218</v>
      </c>
      <c r="F5" s="16">
        <v>912</v>
      </c>
      <c r="G5" s="16">
        <v>914</v>
      </c>
      <c r="H5" s="17" t="s">
        <v>217</v>
      </c>
      <c r="I5" s="16">
        <v>90</v>
      </c>
      <c r="J5" s="16">
        <v>7</v>
      </c>
    </row>
    <row r="6" spans="1:10" x14ac:dyDescent="0.2">
      <c r="A6" s="5">
        <v>50</v>
      </c>
      <c r="B6" s="37" t="str">
        <f>HYPERLINK("C:\Users\JPHoppe\Documents\Publicações\Artigos\Periódicos\C\Chiroptera Neotropical\Vol 9\Issue 1-2\Barquez et al 2003.pdf","Barquez et al 2003")</f>
        <v>Barquez et al 2003</v>
      </c>
      <c r="C6" s="12">
        <v>2003</v>
      </c>
      <c r="D6" s="21" t="s">
        <v>1002</v>
      </c>
      <c r="E6" s="18" t="s">
        <v>404</v>
      </c>
      <c r="F6" s="12">
        <v>166</v>
      </c>
      <c r="G6" s="12">
        <v>169</v>
      </c>
      <c r="H6" s="15" t="s">
        <v>268</v>
      </c>
      <c r="I6" s="12">
        <v>9</v>
      </c>
      <c r="J6" s="22" t="s">
        <v>403</v>
      </c>
    </row>
    <row r="7" spans="1:10" x14ac:dyDescent="0.2">
      <c r="A7" s="19">
        <v>8</v>
      </c>
      <c r="B7" s="39" t="str">
        <f>HYPERLINK("C:\Users\JPHoppe\Documents\Publicações\Artigos\Periódicos\V\Vespertilio\Vol 11\Bartonicka &amp; Buric 2007.pdf","Bartonicka &amp; Buric 2007")</f>
        <v>Bartonicka &amp; Buric 2007</v>
      </c>
      <c r="C7" s="16">
        <v>2007</v>
      </c>
      <c r="D7" s="18" t="s">
        <v>1003</v>
      </c>
      <c r="E7" s="18" t="s">
        <v>195</v>
      </c>
      <c r="F7" s="16">
        <v>167</v>
      </c>
      <c r="G7" s="16">
        <v>169</v>
      </c>
      <c r="H7" s="17" t="s">
        <v>104</v>
      </c>
      <c r="I7" s="16">
        <v>11</v>
      </c>
      <c r="J7" s="16" t="s">
        <v>107</v>
      </c>
    </row>
    <row r="8" spans="1:10" x14ac:dyDescent="0.2">
      <c r="A8" s="5">
        <v>115</v>
      </c>
      <c r="B8" s="42" t="s">
        <v>736</v>
      </c>
      <c r="C8" s="19">
        <v>2008</v>
      </c>
      <c r="D8" s="20" t="s">
        <v>739</v>
      </c>
      <c r="E8" s="20" t="s">
        <v>740</v>
      </c>
      <c r="F8" s="19">
        <v>193</v>
      </c>
      <c r="G8" s="19">
        <v>202</v>
      </c>
      <c r="H8" s="20" t="s">
        <v>741</v>
      </c>
      <c r="I8" s="19">
        <v>9</v>
      </c>
      <c r="J8" s="19" t="s">
        <v>107</v>
      </c>
    </row>
    <row r="9" spans="1:10" x14ac:dyDescent="0.2">
      <c r="A9" s="5">
        <v>52</v>
      </c>
      <c r="B9" s="43" t="s">
        <v>412</v>
      </c>
      <c r="C9" s="12">
        <v>1989</v>
      </c>
      <c r="D9" s="21" t="s">
        <v>1004</v>
      </c>
      <c r="E9" s="18" t="s">
        <v>413</v>
      </c>
      <c r="F9" s="12">
        <v>201</v>
      </c>
      <c r="G9" s="12">
        <v>203</v>
      </c>
      <c r="H9" s="13" t="s">
        <v>410</v>
      </c>
      <c r="I9" s="12">
        <v>32</v>
      </c>
      <c r="J9" s="12" t="s">
        <v>107</v>
      </c>
    </row>
    <row r="10" spans="1:10" x14ac:dyDescent="0.2">
      <c r="A10" s="19">
        <v>136</v>
      </c>
      <c r="B10" s="38" t="str">
        <f>HYPERLINK("C:\Users\JPHoppe\Documents\Publicações\Artigos\Periódicos\S\Subterranean Biology\Vol 30\Bernardi et al 2019.pdf","Bernardi et al 2019")</f>
        <v>Bernardi et al 2019</v>
      </c>
      <c r="C10" s="19">
        <v>2019</v>
      </c>
      <c r="D10" s="20" t="s">
        <v>1005</v>
      </c>
      <c r="E10" s="20" t="s">
        <v>855</v>
      </c>
      <c r="F10" s="19">
        <v>33</v>
      </c>
      <c r="G10" s="19">
        <v>40</v>
      </c>
      <c r="H10" s="20" t="s">
        <v>846</v>
      </c>
      <c r="I10" s="19">
        <v>30</v>
      </c>
      <c r="J10" s="19" t="s">
        <v>107</v>
      </c>
    </row>
    <row r="11" spans="1:10" x14ac:dyDescent="0.2">
      <c r="A11" s="19">
        <v>19</v>
      </c>
      <c r="B11" s="39" t="str">
        <f>HYPERLINK("C:\Users\JPHoppe\Documents\Publicações\Artigos\Periódicos\J\Journal of the Bombay Natural History Society\Vol 85\Issue 3\Bhati 1988.pdf","Bhati 1988")</f>
        <v>Bhati 1988</v>
      </c>
      <c r="C11" s="16">
        <v>1988</v>
      </c>
      <c r="D11" s="18" t="s">
        <v>1006</v>
      </c>
      <c r="E11" s="18" t="s">
        <v>245</v>
      </c>
      <c r="F11" s="16">
        <v>608</v>
      </c>
      <c r="G11" s="16">
        <v>608</v>
      </c>
      <c r="H11" s="17" t="s">
        <v>239</v>
      </c>
      <c r="I11" s="16">
        <v>85</v>
      </c>
      <c r="J11" s="16">
        <v>3</v>
      </c>
    </row>
    <row r="12" spans="1:10" x14ac:dyDescent="0.2">
      <c r="A12" s="5">
        <v>44</v>
      </c>
      <c r="B12" s="37" t="str">
        <f>HYPERLINK("C:\Users\JPHoppe\Documents\Publicações\Artigos\Periódicos\C\Chiroptera Neotropical\Vol 16\Issue 2\Boada &amp; Tirira 2010.pdf","Boada &amp; Tirira 2010")</f>
        <v>Boada &amp; Tirira 2010</v>
      </c>
      <c r="C12" s="12">
        <v>2010</v>
      </c>
      <c r="D12" s="21" t="s">
        <v>1007</v>
      </c>
      <c r="E12" s="18" t="s">
        <v>379</v>
      </c>
      <c r="F12" s="12">
        <v>755</v>
      </c>
      <c r="G12" s="12">
        <v>757</v>
      </c>
      <c r="H12" s="15" t="s">
        <v>268</v>
      </c>
      <c r="I12" s="12">
        <v>16</v>
      </c>
      <c r="J12" s="12">
        <v>2</v>
      </c>
    </row>
    <row r="13" spans="1:10" x14ac:dyDescent="0.2">
      <c r="A13" s="19">
        <v>137</v>
      </c>
      <c r="B13" s="44" t="str">
        <f>HYPERLINK("C:\Users\JPHoppe\Documents\Publicações\Artigos\Periódicos\B\Biodiversity Data Journal\Vol 7\Borloti et al 2019b.pdf","Borloti et al 2019")</f>
        <v>Borloti et al 2019</v>
      </c>
      <c r="C13" s="19">
        <v>2019</v>
      </c>
      <c r="D13" s="20" t="s">
        <v>1008</v>
      </c>
      <c r="E13" s="20" t="s">
        <v>854</v>
      </c>
      <c r="F13" s="19" t="s">
        <v>853</v>
      </c>
      <c r="G13" s="19" t="s">
        <v>107</v>
      </c>
      <c r="H13" s="20" t="s">
        <v>852</v>
      </c>
      <c r="I13" s="19">
        <v>7</v>
      </c>
      <c r="J13" s="19" t="s">
        <v>107</v>
      </c>
    </row>
    <row r="14" spans="1:10" x14ac:dyDescent="0.2">
      <c r="A14" s="5">
        <v>54</v>
      </c>
      <c r="B14" s="43" t="s">
        <v>417</v>
      </c>
      <c r="C14" s="12">
        <v>1993</v>
      </c>
      <c r="D14" s="21" t="s">
        <v>1009</v>
      </c>
      <c r="E14" s="18" t="s">
        <v>419</v>
      </c>
      <c r="F14" s="12">
        <v>213</v>
      </c>
      <c r="G14" s="12">
        <v>214</v>
      </c>
      <c r="H14" s="13" t="s">
        <v>418</v>
      </c>
      <c r="I14" s="12">
        <v>51</v>
      </c>
      <c r="J14" s="12" t="s">
        <v>107</v>
      </c>
    </row>
    <row r="15" spans="1:10" x14ac:dyDescent="0.2">
      <c r="A15" s="5">
        <v>36</v>
      </c>
      <c r="B15" s="37" t="str">
        <f>HYPERLINK("C:\Users\JPHoppe\Documents\Publicações\Artigos\Periódicos\M\Mammalogy Notes\Vol 1\Issue 2\Brito &amp; León 2014.pdf","Brito &amp; León 2014")</f>
        <v>Brito &amp; León 2014</v>
      </c>
      <c r="C15" s="12">
        <v>2014</v>
      </c>
      <c r="D15" s="21" t="s">
        <v>1010</v>
      </c>
      <c r="E15" s="18" t="s">
        <v>342</v>
      </c>
      <c r="F15" s="12">
        <v>14</v>
      </c>
      <c r="G15" s="12">
        <v>15</v>
      </c>
      <c r="H15" s="15" t="s">
        <v>341</v>
      </c>
      <c r="I15" s="12">
        <v>1</v>
      </c>
      <c r="J15" s="12">
        <v>2</v>
      </c>
    </row>
    <row r="16" spans="1:10" x14ac:dyDescent="0.2">
      <c r="A16" s="5">
        <v>134</v>
      </c>
      <c r="B16" s="37" t="str">
        <f>HYPERLINK("C:\Users\JPHoppe\Documents\Publicações\Artigos\Periódicos\J\Journal of Mammalogy\Vol 66\Issue 1\Buchanan 1985.pdf","Buchanan 1985")</f>
        <v>Buchanan 1985</v>
      </c>
      <c r="C16" s="5">
        <v>1985</v>
      </c>
      <c r="D16" s="20" t="s">
        <v>1011</v>
      </c>
      <c r="E16" s="20" t="s">
        <v>825</v>
      </c>
      <c r="F16" s="5">
        <v>178</v>
      </c>
      <c r="G16" s="5">
        <v>178</v>
      </c>
      <c r="H16" s="20" t="s">
        <v>343</v>
      </c>
      <c r="I16" s="5">
        <v>66</v>
      </c>
      <c r="J16" s="5">
        <v>1</v>
      </c>
    </row>
    <row r="17" spans="1:10" x14ac:dyDescent="0.2">
      <c r="A17" s="5">
        <v>57</v>
      </c>
      <c r="B17" s="43" t="s">
        <v>429</v>
      </c>
      <c r="C17" s="12">
        <v>1948</v>
      </c>
      <c r="D17" s="21" t="s">
        <v>1012</v>
      </c>
      <c r="E17" s="14" t="s">
        <v>430</v>
      </c>
      <c r="F17" s="12">
        <v>59</v>
      </c>
      <c r="G17" s="12">
        <v>72</v>
      </c>
      <c r="H17" s="13" t="s">
        <v>431</v>
      </c>
      <c r="I17" s="12">
        <v>18</v>
      </c>
      <c r="J17" s="12" t="s">
        <v>107</v>
      </c>
    </row>
    <row r="18" spans="1:10" x14ac:dyDescent="0.2">
      <c r="A18" s="5">
        <v>51</v>
      </c>
      <c r="B18" s="37" t="str">
        <f>HYPERLINK("C:\Users\JPHoppe\Documents\Publicações\Artigos\Periódicos\L\Lutra\Vol 45\Issue 1\Buys et al 2002.pdf","Buys et al 2002")</f>
        <v>Buys et al 2002</v>
      </c>
      <c r="C18" s="12">
        <v>2002</v>
      </c>
      <c r="D18" s="21" t="s">
        <v>1013</v>
      </c>
      <c r="E18" s="18" t="s">
        <v>411</v>
      </c>
      <c r="F18" s="12">
        <v>49</v>
      </c>
      <c r="G18" s="12">
        <v>52</v>
      </c>
      <c r="H18" s="15" t="s">
        <v>410</v>
      </c>
      <c r="I18" s="12">
        <v>45</v>
      </c>
      <c r="J18" s="12">
        <v>1</v>
      </c>
    </row>
    <row r="19" spans="1:10" x14ac:dyDescent="0.2">
      <c r="A19" s="19">
        <v>59</v>
      </c>
      <c r="B19" s="39" t="str">
        <f>HYPERLINK("C:\Users\JPHoppe\Documents\Publicações\Artigos\Periódicos\P\Proceedings of the Oklahoma Academy of Science\Vol 68\Caire &amp; Thies 1988.pdf","Caire &amp; Thies 1988")</f>
        <v>Caire &amp; Thies 1988</v>
      </c>
      <c r="C19" s="16">
        <v>1988</v>
      </c>
      <c r="D19" s="18" t="s">
        <v>1014</v>
      </c>
      <c r="E19" s="14" t="s">
        <v>439</v>
      </c>
      <c r="F19" s="16">
        <v>75</v>
      </c>
      <c r="G19" s="16">
        <v>76</v>
      </c>
      <c r="H19" s="17" t="s">
        <v>440</v>
      </c>
      <c r="I19" s="16">
        <v>68</v>
      </c>
      <c r="J19" s="16" t="s">
        <v>107</v>
      </c>
    </row>
    <row r="20" spans="1:10" x14ac:dyDescent="0.2">
      <c r="A20" s="5">
        <v>113</v>
      </c>
      <c r="B20" s="36" t="str">
        <f>HYPERLINK("C:\Users\JPHoppe\Documents\Publicações\Artigos\Periódicos\B\Biodiversity International Journal\Vol 2\Issue 1\Calderón-Álvarez &amp; Marín-Vásquez 2018.pdf","Calderón-Álvarez &amp; Marín-Vásquez 2018")</f>
        <v>Calderón-Álvarez &amp; Marín-Vásquez 2018</v>
      </c>
      <c r="C20" s="5">
        <v>2018</v>
      </c>
      <c r="D20" s="21" t="s">
        <v>1015</v>
      </c>
      <c r="E20" s="20" t="s">
        <v>709</v>
      </c>
      <c r="F20" s="5">
        <v>1</v>
      </c>
      <c r="G20" s="5">
        <v>2</v>
      </c>
      <c r="H20" s="21" t="s">
        <v>710</v>
      </c>
      <c r="I20" s="5">
        <v>2</v>
      </c>
      <c r="J20" s="5">
        <v>1</v>
      </c>
    </row>
    <row r="21" spans="1:10" x14ac:dyDescent="0.2">
      <c r="A21" s="5">
        <v>60</v>
      </c>
      <c r="B21" s="43" t="s">
        <v>447</v>
      </c>
      <c r="C21" s="12">
        <v>1980</v>
      </c>
      <c r="D21" s="21" t="s">
        <v>921</v>
      </c>
      <c r="E21" s="14" t="s">
        <v>448</v>
      </c>
      <c r="F21" s="12">
        <v>193</v>
      </c>
      <c r="G21" s="12">
        <v>202</v>
      </c>
      <c r="H21" s="13" t="s">
        <v>94</v>
      </c>
      <c r="I21" s="12">
        <v>1</v>
      </c>
      <c r="J21" s="12" t="s">
        <v>107</v>
      </c>
    </row>
    <row r="22" spans="1:10" x14ac:dyDescent="0.2">
      <c r="A22" s="5">
        <v>34</v>
      </c>
      <c r="B22" s="37" t="str">
        <f>HYPERLINK("C:\Users\JPHoppe\Documents\Publicações\Artigos\Periódicos\A\Acta Zoologica Mexicana (nueva serie)\Vol 31\Issue 1\Chacón et al 2015.pdf","Chacón et al 2015")</f>
        <v>Chacón et al 2015</v>
      </c>
      <c r="C22" s="12">
        <v>2015</v>
      </c>
      <c r="D22" s="21" t="s">
        <v>1016</v>
      </c>
      <c r="E22" s="18" t="s">
        <v>323</v>
      </c>
      <c r="F22" s="12">
        <v>125</v>
      </c>
      <c r="G22" s="12">
        <v>128</v>
      </c>
      <c r="H22" s="15" t="s">
        <v>322</v>
      </c>
      <c r="I22" s="12">
        <v>31</v>
      </c>
      <c r="J22" s="12">
        <v>1</v>
      </c>
    </row>
    <row r="23" spans="1:10" x14ac:dyDescent="0.2">
      <c r="A23" s="5">
        <v>48</v>
      </c>
      <c r="B23" s="43" t="s">
        <v>394</v>
      </c>
      <c r="C23" s="12">
        <v>2001</v>
      </c>
      <c r="D23" s="21" t="s">
        <v>1017</v>
      </c>
      <c r="E23" s="14" t="s">
        <v>395</v>
      </c>
      <c r="F23" s="12">
        <v>1</v>
      </c>
      <c r="G23" s="12">
        <v>172</v>
      </c>
      <c r="H23" s="13" t="s">
        <v>173</v>
      </c>
      <c r="I23" s="12" t="s">
        <v>107</v>
      </c>
      <c r="J23" s="12" t="s">
        <v>107</v>
      </c>
    </row>
    <row r="24" spans="1:10" x14ac:dyDescent="0.2">
      <c r="A24" s="19">
        <v>114</v>
      </c>
      <c r="B24" s="36" t="str">
        <f>HYPERLINK("C:\Users\JPHoppe\Documents\Publicações\Artigos\Periódicos\N\North-Western Journal of Zoology\Vol 13\Issue 2\Cichocki et al 2017.pdf","Cichocki et al 2017")</f>
        <v>Cichocki et al 2017</v>
      </c>
      <c r="C24" s="5">
        <v>2017</v>
      </c>
      <c r="D24" s="6" t="s">
        <v>1018</v>
      </c>
      <c r="E24" s="20" t="s">
        <v>713</v>
      </c>
      <c r="F24" s="5" t="s">
        <v>714</v>
      </c>
      <c r="G24" s="5" t="s">
        <v>107</v>
      </c>
      <c r="H24" s="18" t="s">
        <v>715</v>
      </c>
      <c r="I24" s="5">
        <v>13</v>
      </c>
      <c r="J24" s="5">
        <v>2</v>
      </c>
    </row>
    <row r="25" spans="1:10" x14ac:dyDescent="0.2">
      <c r="A25" s="5">
        <v>117</v>
      </c>
      <c r="B25" s="36" t="str">
        <f>HYPERLINK("C:\Users\JPHoppe\Documents\Publicações\Artigos\Periódicos\R\Revista Biodiversidad Neotropical\Vol 7\Issue 2\Córdova et al 2017.pdf","Córdova et al 2017")</f>
        <v>Córdova et al 2017</v>
      </c>
      <c r="C25" s="5">
        <v>2017</v>
      </c>
      <c r="D25" t="s">
        <v>1019</v>
      </c>
      <c r="E25" s="20" t="s">
        <v>744</v>
      </c>
      <c r="F25" s="5">
        <v>114</v>
      </c>
      <c r="G25" s="5">
        <v>118</v>
      </c>
      <c r="H25" t="s">
        <v>745</v>
      </c>
      <c r="I25" s="5">
        <v>7</v>
      </c>
      <c r="J25" s="5">
        <v>2</v>
      </c>
    </row>
    <row r="26" spans="1:10" x14ac:dyDescent="0.2">
      <c r="A26" s="19">
        <v>6</v>
      </c>
      <c r="B26" s="39" t="str">
        <f>HYPERLINK("C:\Users\JPHoppe\Documents\Publicações\Artigos\Periódicos\N\Netopiere\Vol 1\Danko 1995.pdf","Danko 1995")</f>
        <v>Danko 1995</v>
      </c>
      <c r="C26" s="16">
        <v>1995</v>
      </c>
      <c r="D26" s="18" t="s">
        <v>1020</v>
      </c>
      <c r="E26" s="18" t="s">
        <v>176</v>
      </c>
      <c r="F26" s="16">
        <v>103</v>
      </c>
      <c r="G26" s="16">
        <v>104</v>
      </c>
      <c r="H26" s="17" t="s">
        <v>175</v>
      </c>
      <c r="I26" s="16">
        <v>1</v>
      </c>
      <c r="J26" s="16" t="s">
        <v>107</v>
      </c>
    </row>
    <row r="27" spans="1:10" x14ac:dyDescent="0.2">
      <c r="A27" s="19">
        <v>20</v>
      </c>
      <c r="B27" s="39" t="str">
        <f>HYPERLINK("C:\Users\JPHoppe\Documents\Publicações\Artigos\Periódicos\C\Current Science\Vol 100\Issue 2\Devkar et al 2011.pdf","Devkar et al 2011")</f>
        <v>Devkar et al 2011</v>
      </c>
      <c r="C27" s="16">
        <v>2011</v>
      </c>
      <c r="D27" s="18" t="s">
        <v>1021</v>
      </c>
      <c r="E27" s="18" t="s">
        <v>249</v>
      </c>
      <c r="F27" s="16">
        <v>165</v>
      </c>
      <c r="G27" s="16">
        <v>166</v>
      </c>
      <c r="H27" s="14" t="s">
        <v>217</v>
      </c>
      <c r="I27" s="16">
        <v>100</v>
      </c>
      <c r="J27" s="16">
        <v>2</v>
      </c>
    </row>
    <row r="28" spans="1:10" x14ac:dyDescent="0.2">
      <c r="A28" s="5">
        <v>62</v>
      </c>
      <c r="B28" s="37" t="str">
        <f>HYPERLINK("C:\Users\JPHoppe\Documents\Publicações\Artigos\Periódicos\M\Mammalia\Vol 21\Issue 2\Dorst 1957.pdf","Dorst 1957a")</f>
        <v>Dorst 1957a</v>
      </c>
      <c r="C28" s="12">
        <v>1957</v>
      </c>
      <c r="D28" s="21" t="s">
        <v>1022</v>
      </c>
      <c r="E28" s="14" t="s">
        <v>454</v>
      </c>
      <c r="F28" s="12">
        <v>191</v>
      </c>
      <c r="G28" s="12">
        <v>191</v>
      </c>
      <c r="H28" s="13" t="s">
        <v>209</v>
      </c>
      <c r="I28" s="12">
        <v>21</v>
      </c>
      <c r="J28" s="12">
        <v>2</v>
      </c>
    </row>
    <row r="29" spans="1:10" x14ac:dyDescent="0.2">
      <c r="A29" s="5">
        <v>63</v>
      </c>
      <c r="B29" s="43" t="s">
        <v>459</v>
      </c>
      <c r="C29" s="12">
        <v>1968</v>
      </c>
      <c r="D29" s="21" t="s">
        <v>1023</v>
      </c>
      <c r="E29" s="18" t="s">
        <v>461</v>
      </c>
      <c r="F29" s="12">
        <v>308</v>
      </c>
      <c r="G29" s="12">
        <v>309</v>
      </c>
      <c r="H29" s="13" t="s">
        <v>460</v>
      </c>
      <c r="I29" s="12">
        <v>16</v>
      </c>
      <c r="J29" s="12" t="s">
        <v>107</v>
      </c>
    </row>
    <row r="30" spans="1:10" x14ac:dyDescent="0.2">
      <c r="A30" s="5">
        <v>65</v>
      </c>
      <c r="B30" s="37" t="str">
        <f>HYPERLINK("C:\Users\JPHoppe\Documents\Publicações\Artigos\Periódicos\S\Southwestern Naturalist\Vol 13\Issue 4\Easterla &amp; Watkins 1968.pdf","Easterla &amp; Watkins 1968")</f>
        <v>Easterla &amp; Watkins 1968</v>
      </c>
      <c r="C30" s="12">
        <v>1968</v>
      </c>
      <c r="D30" s="21" t="s">
        <v>1024</v>
      </c>
      <c r="E30" s="14" t="s">
        <v>467</v>
      </c>
      <c r="F30" s="12">
        <v>447</v>
      </c>
      <c r="G30" s="12">
        <v>448</v>
      </c>
      <c r="H30" s="13" t="s">
        <v>468</v>
      </c>
      <c r="I30" s="12">
        <v>13</v>
      </c>
      <c r="J30" s="12">
        <v>4</v>
      </c>
    </row>
    <row r="31" spans="1:10" x14ac:dyDescent="0.2">
      <c r="A31" s="5">
        <v>46</v>
      </c>
      <c r="B31" s="37" t="str">
        <f>HYPERLINK("C:\Users\JPHoppe\Documents\Publicações\Artigos\Periódicos\C\Chiroptera Neotropical\Vol 20\Issue 1\Falcão 2014.pdf","Falcão 2014")</f>
        <v>Falcão 2014</v>
      </c>
      <c r="C31" s="12">
        <v>2014</v>
      </c>
      <c r="D31" s="21" t="s">
        <v>1025</v>
      </c>
      <c r="E31" s="18" t="s">
        <v>385</v>
      </c>
      <c r="F31" s="12">
        <v>1234</v>
      </c>
      <c r="G31" s="12">
        <v>1236</v>
      </c>
      <c r="H31" s="15" t="s">
        <v>268</v>
      </c>
      <c r="I31" s="12">
        <v>20</v>
      </c>
      <c r="J31" s="12">
        <v>1</v>
      </c>
    </row>
    <row r="32" spans="1:10" x14ac:dyDescent="0.2">
      <c r="A32" s="19">
        <v>124</v>
      </c>
      <c r="B32" s="36" t="str">
        <f>HYPERLINK("C:\Users\JPHoppe\Documents\Publicações\Artigos\Periódicos\L\L'Envol des Chiros\Vol 6\Frontera 2002.pdf","Frontera 2002")</f>
        <v>Frontera 2002</v>
      </c>
      <c r="C32" s="5">
        <v>2002</v>
      </c>
      <c r="D32" s="20" t="s">
        <v>1026</v>
      </c>
      <c r="E32" s="20" t="s">
        <v>781</v>
      </c>
      <c r="F32" s="5">
        <v>3</v>
      </c>
      <c r="G32" s="5">
        <v>3</v>
      </c>
      <c r="H32" t="s">
        <v>782</v>
      </c>
      <c r="I32" s="5">
        <v>6</v>
      </c>
      <c r="J32" s="5" t="s">
        <v>107</v>
      </c>
    </row>
    <row r="33" spans="1:10" x14ac:dyDescent="0.2">
      <c r="A33" s="5">
        <v>66</v>
      </c>
      <c r="B33" s="43" t="s">
        <v>470</v>
      </c>
      <c r="C33" s="12">
        <v>2002</v>
      </c>
      <c r="D33" s="21" t="s">
        <v>1027</v>
      </c>
      <c r="E33" s="18" t="s">
        <v>471</v>
      </c>
      <c r="F33" s="12">
        <v>179</v>
      </c>
      <c r="G33" s="12">
        <v>181</v>
      </c>
      <c r="H33" s="13" t="s">
        <v>94</v>
      </c>
      <c r="I33" s="12">
        <v>8</v>
      </c>
      <c r="J33" s="12">
        <v>2</v>
      </c>
    </row>
    <row r="34" spans="1:10" x14ac:dyDescent="0.2">
      <c r="A34" s="19">
        <v>9</v>
      </c>
      <c r="B34" s="39" t="str">
        <f>HYPERLINK("C:\Users\JPHoppe\Documents\Publicações\Artigos\Periódicos\H\Hystrix\Vol 22\Issue 1\Gaisler et al 2011.pdf","Gaisler et al 2011")</f>
        <v>Gaisler et al 2011</v>
      </c>
      <c r="C34" s="16">
        <v>2011</v>
      </c>
      <c r="D34" s="18" t="s">
        <v>1028</v>
      </c>
      <c r="E34" s="18" t="s">
        <v>197</v>
      </c>
      <c r="F34" s="16">
        <v>73</v>
      </c>
      <c r="G34" s="16">
        <v>79</v>
      </c>
      <c r="H34" s="17" t="s">
        <v>196</v>
      </c>
      <c r="I34" s="16">
        <v>22</v>
      </c>
      <c r="J34" s="16">
        <v>1</v>
      </c>
    </row>
    <row r="35" spans="1:10" x14ac:dyDescent="0.2">
      <c r="A35" s="19">
        <v>126</v>
      </c>
      <c r="B35" s="36" t="str">
        <f>HYPERLINK("C:\Users\JPHoppe\Documents\Publicações\Artigos\Periódicos\E\Ecotropica\Vol 16\Issue 1\Gamba-Rios 2010.pdf","Gamba-Rios 2010")</f>
        <v>Gamba-Rios 2010</v>
      </c>
      <c r="C35" s="5">
        <v>2010</v>
      </c>
      <c r="D35" s="20" t="s">
        <v>1029</v>
      </c>
      <c r="E35" s="20" t="s">
        <v>789</v>
      </c>
      <c r="F35" s="5">
        <v>59</v>
      </c>
      <c r="G35" s="5">
        <v>61</v>
      </c>
      <c r="H35" t="s">
        <v>790</v>
      </c>
      <c r="I35" s="5">
        <v>16</v>
      </c>
      <c r="J35" s="5">
        <v>1</v>
      </c>
    </row>
    <row r="36" spans="1:10" x14ac:dyDescent="0.2">
      <c r="A36" s="5">
        <v>41</v>
      </c>
      <c r="B36" s="37" t="str">
        <f>HYPERLINK("C:\Users\JPHoppe\Documents\Publicações\Artigos\Periódicos\C\Chiroptera Neotropical\Vol 16\Issue 2\García-Morales et al 2010.pdf","García-Morales et al 2010")</f>
        <v>García-Morales et al 2010</v>
      </c>
      <c r="C36" s="12">
        <v>2010</v>
      </c>
      <c r="D36" s="21" t="s">
        <v>1030</v>
      </c>
      <c r="E36" s="18" t="s">
        <v>362</v>
      </c>
      <c r="F36" s="12">
        <v>743</v>
      </c>
      <c r="G36" s="12">
        <v>747</v>
      </c>
      <c r="H36" s="15" t="s">
        <v>268</v>
      </c>
      <c r="I36" s="12">
        <v>16</v>
      </c>
      <c r="J36" s="12">
        <v>2</v>
      </c>
    </row>
    <row r="37" spans="1:10" x14ac:dyDescent="0.2">
      <c r="A37" s="5">
        <v>68</v>
      </c>
      <c r="B37" s="37" t="str">
        <f>HYPERLINK("C:\Users\JPHoppe\Documents\Publicações\Artigos\Periódicos\C\Chiroptera Neotropical\Vol 18\Issue 1\García-Morales et al 2012.pdf","García-Morales et al 2012")</f>
        <v>García-Morales et al 2012</v>
      </c>
      <c r="C37" s="12">
        <v>2012</v>
      </c>
      <c r="D37" s="21" t="s">
        <v>1032</v>
      </c>
      <c r="E37" s="18" t="s">
        <v>474</v>
      </c>
      <c r="F37" s="12">
        <v>1101</v>
      </c>
      <c r="G37" s="12">
        <v>1105</v>
      </c>
      <c r="H37" s="15" t="s">
        <v>268</v>
      </c>
      <c r="I37" s="12">
        <v>18</v>
      </c>
      <c r="J37" s="12">
        <v>1</v>
      </c>
    </row>
    <row r="38" spans="1:10" x14ac:dyDescent="0.2">
      <c r="A38" s="5">
        <v>69</v>
      </c>
      <c r="B38" s="37" t="str">
        <f>HYPERLINK("C:\Users\JPHoppe\Documents\Publicações\Artigos\Periódicos\C\Chiroptera Neotropical\Vol 19\Issue 2\García-Morales et al 2013.pdf","García-Morales et al 2013")</f>
        <v>García-Morales et al 2013</v>
      </c>
      <c r="C38" s="12">
        <v>2013</v>
      </c>
      <c r="D38" s="21" t="s">
        <v>1031</v>
      </c>
      <c r="E38" s="18" t="s">
        <v>478</v>
      </c>
      <c r="F38" s="12">
        <v>1212</v>
      </c>
      <c r="G38" s="12">
        <v>1215</v>
      </c>
      <c r="H38" s="15" t="s">
        <v>268</v>
      </c>
      <c r="I38" s="12">
        <v>19</v>
      </c>
      <c r="J38" s="12">
        <v>2</v>
      </c>
    </row>
    <row r="39" spans="1:10" x14ac:dyDescent="0.2">
      <c r="A39" s="19">
        <v>70</v>
      </c>
      <c r="B39" s="39" t="str">
        <f>HYPERLINK("C:\Users\JPHoppe\Documents\Publicações\Artigos\Periódicos\C\Chiroptera Neotropical\Vol 12\Issue 1\Geiger &amp; Pacheco 2006.pdf","Geiger &amp; Pacheco 2006")</f>
        <v>Geiger &amp; Pacheco 2006</v>
      </c>
      <c r="C39" s="16">
        <v>2006</v>
      </c>
      <c r="D39" s="18" t="s">
        <v>1033</v>
      </c>
      <c r="E39" s="18" t="s">
        <v>479</v>
      </c>
      <c r="F39" s="16">
        <v>250</v>
      </c>
      <c r="G39" s="16">
        <v>254</v>
      </c>
      <c r="H39" s="17" t="s">
        <v>268</v>
      </c>
      <c r="I39" s="16">
        <v>12</v>
      </c>
      <c r="J39" s="16">
        <v>1</v>
      </c>
    </row>
    <row r="40" spans="1:10" x14ac:dyDescent="0.2">
      <c r="A40" s="5">
        <v>71</v>
      </c>
      <c r="B40" s="37" t="str">
        <f>HYPERLINK("C:\Users\JPHoppe\Documents\Publicações\Artigos\Periódicos\A\American Midland Naturalist\Vol 52\Issue 2\Glass 1954.pdf","Glass 1954")</f>
        <v>Glass 1954</v>
      </c>
      <c r="C40" s="12">
        <v>1954</v>
      </c>
      <c r="D40" s="21" t="s">
        <v>1034</v>
      </c>
      <c r="E40" s="18" t="s">
        <v>483</v>
      </c>
      <c r="F40" s="12">
        <v>400</v>
      </c>
      <c r="G40" s="12">
        <v>402</v>
      </c>
      <c r="H40" s="15" t="s">
        <v>482</v>
      </c>
      <c r="I40" s="12">
        <v>52</v>
      </c>
      <c r="J40" s="12">
        <v>2</v>
      </c>
    </row>
    <row r="41" spans="1:10" x14ac:dyDescent="0.2">
      <c r="A41" s="19">
        <v>116</v>
      </c>
      <c r="B41" s="40" t="s">
        <v>737</v>
      </c>
      <c r="C41" s="5">
        <v>2010</v>
      </c>
      <c r="D41" t="s">
        <v>742</v>
      </c>
      <c r="E41" s="20" t="s">
        <v>743</v>
      </c>
      <c r="F41" s="5">
        <v>1</v>
      </c>
      <c r="G41" s="5">
        <v>38</v>
      </c>
      <c r="H41" t="s">
        <v>173</v>
      </c>
      <c r="I41" s="12" t="s">
        <v>107</v>
      </c>
      <c r="J41" s="12" t="s">
        <v>107</v>
      </c>
    </row>
    <row r="42" spans="1:10" x14ac:dyDescent="0.2">
      <c r="A42" s="5">
        <v>43</v>
      </c>
      <c r="B42" s="37" t="str">
        <f>HYPERLINK("C:\Users\JPHoppe\Documents\Publicações\Artigos\Periódicos\B\Bulletin of the American Museum of Natural History\Vol 122\3 Goodwin &amp; Greenhall 1961.pdf","Goodwin &amp; Greenhall 1961")</f>
        <v>Goodwin &amp; Greenhall 1961</v>
      </c>
      <c r="C42" s="12">
        <v>1961</v>
      </c>
      <c r="D42" s="21" t="s">
        <v>1035</v>
      </c>
      <c r="E42" s="14" t="s">
        <v>375</v>
      </c>
      <c r="F42" s="12">
        <v>187</v>
      </c>
      <c r="G42" s="12">
        <v>302</v>
      </c>
      <c r="H42" s="13" t="s">
        <v>376</v>
      </c>
      <c r="I42" s="12">
        <v>122</v>
      </c>
      <c r="J42" s="12">
        <v>3</v>
      </c>
    </row>
    <row r="43" spans="1:10" x14ac:dyDescent="0.2">
      <c r="A43" s="19">
        <v>26</v>
      </c>
      <c r="B43" s="39" t="str">
        <f>HYPERLINK("C:\Users\JPHoppe\Documents\Publicações\Artigos\Periódicos\A\American Museum Novitates\2195 Goodwin &amp; Greenhall 1964.pdf","Goodwin &amp; Greenhall 1964")</f>
        <v>Goodwin &amp; Greenhall 1964</v>
      </c>
      <c r="C43" s="16">
        <v>1964</v>
      </c>
      <c r="D43" s="21" t="s">
        <v>1035</v>
      </c>
      <c r="E43" s="18" t="s">
        <v>278</v>
      </c>
      <c r="F43" s="16">
        <v>1</v>
      </c>
      <c r="G43" s="16">
        <v>23</v>
      </c>
      <c r="H43" s="14" t="s">
        <v>277</v>
      </c>
      <c r="I43" s="16">
        <v>2195</v>
      </c>
      <c r="J43" s="16" t="s">
        <v>107</v>
      </c>
    </row>
    <row r="44" spans="1:10" x14ac:dyDescent="0.2">
      <c r="A44" s="5">
        <v>72</v>
      </c>
      <c r="B44" s="37" t="str">
        <f>HYPERLINK("C:\Users\JPHoppe\Documents\Publicações\Artigos\Periódicos\J\Journal of Mammalogy\Vol 28\Issue 1\Goslin 1947.pdf","Goslin 1947")</f>
        <v>Goslin 1947</v>
      </c>
      <c r="C44" s="12">
        <v>1947</v>
      </c>
      <c r="D44" s="21" t="s">
        <v>1036</v>
      </c>
      <c r="E44" s="14" t="s">
        <v>486</v>
      </c>
      <c r="F44" s="12">
        <v>62</v>
      </c>
      <c r="G44" s="12">
        <v>62</v>
      </c>
      <c r="H44" s="13" t="s">
        <v>343</v>
      </c>
      <c r="I44" s="12">
        <v>28</v>
      </c>
      <c r="J44" s="12">
        <v>1</v>
      </c>
    </row>
    <row r="45" spans="1:10" x14ac:dyDescent="0.2">
      <c r="A45" s="5">
        <v>73</v>
      </c>
      <c r="B45" s="37" t="str">
        <f>HYPERLINK("C:\Users\JPHoppe\Documents\Publicações\Livros\Completos\Zoologia\Mastozoologia\Gerais\Contribución á la mamalogía cubana (Gundlach 1877).pdf","Gundlach 1877")</f>
        <v>Gundlach 1877</v>
      </c>
      <c r="C45" s="12">
        <v>1877</v>
      </c>
      <c r="D45" s="21" t="s">
        <v>1037</v>
      </c>
      <c r="E45" s="14" t="s">
        <v>488</v>
      </c>
      <c r="F45" s="12">
        <v>1</v>
      </c>
      <c r="G45" s="12">
        <v>53</v>
      </c>
      <c r="H45" s="13" t="s">
        <v>173</v>
      </c>
      <c r="I45" s="12" t="s">
        <v>107</v>
      </c>
      <c r="J45" s="12" t="s">
        <v>107</v>
      </c>
    </row>
    <row r="46" spans="1:10" x14ac:dyDescent="0.2">
      <c r="A46" s="19">
        <v>56</v>
      </c>
      <c r="B46" s="41" t="s">
        <v>426</v>
      </c>
      <c r="C46" s="16">
        <v>1968</v>
      </c>
      <c r="D46" s="18" t="s">
        <v>1038</v>
      </c>
      <c r="E46" s="18" t="s">
        <v>428</v>
      </c>
      <c r="F46" s="16">
        <v>350</v>
      </c>
      <c r="G46" s="16">
        <v>354</v>
      </c>
      <c r="H46" s="14" t="s">
        <v>427</v>
      </c>
      <c r="I46" s="16">
        <v>2</v>
      </c>
      <c r="J46" s="16" t="s">
        <v>107</v>
      </c>
    </row>
    <row r="47" spans="1:10" x14ac:dyDescent="0.2">
      <c r="A47" s="5">
        <v>74</v>
      </c>
      <c r="B47" s="37" t="str">
        <f>HYPERLINK("C:\Users\JPHoppe\Documents\Publicações\Artigos\Periódicos\J\Journal of Mammalogy\Vol 11\Issue 3\Hamilton 1930.pdf","Hamilton 1930")</f>
        <v>Hamilton 1930</v>
      </c>
      <c r="C47" s="12">
        <v>1930</v>
      </c>
      <c r="D47" s="21" t="s">
        <v>1039</v>
      </c>
      <c r="E47" s="14" t="s">
        <v>490</v>
      </c>
      <c r="F47" s="12">
        <v>306</v>
      </c>
      <c r="G47" s="12">
        <v>311</v>
      </c>
      <c r="H47" s="13" t="s">
        <v>343</v>
      </c>
      <c r="I47" s="12">
        <v>11</v>
      </c>
      <c r="J47" s="12">
        <v>3</v>
      </c>
    </row>
    <row r="48" spans="1:10" x14ac:dyDescent="0.2">
      <c r="A48" s="5">
        <v>75</v>
      </c>
      <c r="B48" s="37" t="str">
        <f>HYPERLINK("C:\Users\JPHoppe\Documents\Publicações\Artigos\Periódicos\J\Journal of the Mammalogical Society of Japan\Vol 16\Issue 1\Harada et al 1991.pdf","Harada et al 1991")</f>
        <v>Harada et al 1991</v>
      </c>
      <c r="C48" s="12">
        <v>1991</v>
      </c>
      <c r="D48" s="21" t="s">
        <v>1040</v>
      </c>
      <c r="E48" s="18" t="s">
        <v>494</v>
      </c>
      <c r="F48" s="12">
        <v>37</v>
      </c>
      <c r="G48" s="12">
        <v>39</v>
      </c>
      <c r="H48" s="13" t="s">
        <v>168</v>
      </c>
      <c r="I48" s="12">
        <v>16</v>
      </c>
      <c r="J48" s="12">
        <v>1</v>
      </c>
    </row>
    <row r="49" spans="1:10" x14ac:dyDescent="0.2">
      <c r="A49" s="5">
        <v>76</v>
      </c>
      <c r="B49" s="37" t="str">
        <f>HYPERLINK("C:\Users\JPHoppe\Documents\Publicações\Artigos\Periódicos\J\Journal of Mammalogy\Vol 45\Issue 3\Heatwole et al 1964.pdf","Heatwole et al 1964")</f>
        <v>Heatwole et al 1964</v>
      </c>
      <c r="C49" s="12">
        <v>1964</v>
      </c>
      <c r="D49" s="21" t="s">
        <v>1041</v>
      </c>
      <c r="E49" s="18" t="s">
        <v>497</v>
      </c>
      <c r="F49" s="12">
        <v>476</v>
      </c>
      <c r="G49" s="12">
        <v>476</v>
      </c>
      <c r="H49" s="13" t="s">
        <v>343</v>
      </c>
      <c r="I49" s="12">
        <v>45</v>
      </c>
      <c r="J49" s="12">
        <v>3</v>
      </c>
    </row>
    <row r="50" spans="1:10" x14ac:dyDescent="0.2">
      <c r="A50" s="19">
        <v>47</v>
      </c>
      <c r="B50" s="39" t="str">
        <f>HYPERLINK("C:\Users\JPHoppe\Documents\Publicações\Artigos\Periódicos\C\Chiroptera Neotropical\Vol 15\Issue 1\Hernández-Mijangos 2009.pdf","Hernández-Mijangos 2009")</f>
        <v>Hernández-Mijangos 2009</v>
      </c>
      <c r="C50" s="16">
        <v>2009</v>
      </c>
      <c r="D50" s="18" t="s">
        <v>1042</v>
      </c>
      <c r="E50" s="14" t="s">
        <v>392</v>
      </c>
      <c r="F50" s="16">
        <v>441</v>
      </c>
      <c r="G50" s="16">
        <v>445</v>
      </c>
      <c r="H50" s="14" t="s">
        <v>268</v>
      </c>
      <c r="I50" s="16">
        <v>15</v>
      </c>
      <c r="J50" s="16">
        <v>1</v>
      </c>
    </row>
    <row r="51" spans="1:10" x14ac:dyDescent="0.2">
      <c r="A51" s="5">
        <v>77</v>
      </c>
      <c r="B51" s="37" t="str">
        <f>HYPERLINK("C:\Users\JPHoppe\Documents\Publicações\Artigos\Periódicos\J\Journal of Mammalogy\Vol 41\Issue 1\Herreid &amp; Davis 1960.pdf","Herreid &amp; Davis 1960")</f>
        <v>Herreid &amp; Davis 1960</v>
      </c>
      <c r="C51" s="12">
        <v>1960</v>
      </c>
      <c r="D51" s="21" t="s">
        <v>1043</v>
      </c>
      <c r="E51" s="14" t="s">
        <v>506</v>
      </c>
      <c r="F51" s="12">
        <v>117</v>
      </c>
      <c r="G51" s="12">
        <v>119</v>
      </c>
      <c r="H51" s="13" t="s">
        <v>343</v>
      </c>
      <c r="I51" s="12">
        <v>41</v>
      </c>
      <c r="J51" s="12">
        <v>1</v>
      </c>
    </row>
    <row r="52" spans="1:10" x14ac:dyDescent="0.2">
      <c r="A52" s="5">
        <v>78</v>
      </c>
      <c r="B52" s="37" t="str">
        <f>HYPERLINK("C:\Users\JPHoppe\Documents\Publicações\Artigos\Periódicos\M\Macroderma\Vol 4\Issue 1\Holsworth 1988.pdf","Holsworth 1988")</f>
        <v>Holsworth 1988</v>
      </c>
      <c r="C52" s="12">
        <v>1988</v>
      </c>
      <c r="D52" s="21" t="s">
        <v>1044</v>
      </c>
      <c r="E52" s="18" t="s">
        <v>511</v>
      </c>
      <c r="F52" s="12">
        <v>43</v>
      </c>
      <c r="G52" s="12">
        <v>43</v>
      </c>
      <c r="H52" s="13" t="s">
        <v>510</v>
      </c>
      <c r="I52" s="12">
        <v>4</v>
      </c>
      <c r="J52" s="12">
        <v>1</v>
      </c>
    </row>
    <row r="53" spans="1:10" x14ac:dyDescent="0.2">
      <c r="A53" s="19">
        <v>16</v>
      </c>
      <c r="B53" s="39" t="str">
        <f>HYPERLINK("C:\Users\JPHoppe\Documents\Publicações\Artigos\Periódicos\C\Chinese Journal of Zoology\Vol 44\Issue 2\Hong et al 2009.pdf","Hong et al 2009")</f>
        <v>Hong et al 2009</v>
      </c>
      <c r="C53" s="16">
        <v>2009</v>
      </c>
      <c r="D53" s="18" t="s">
        <v>1045</v>
      </c>
      <c r="E53" s="18" t="s">
        <v>226</v>
      </c>
      <c r="F53" s="16">
        <v>138</v>
      </c>
      <c r="G53" s="16">
        <v>140</v>
      </c>
      <c r="H53" s="14" t="s">
        <v>225</v>
      </c>
      <c r="I53" s="16">
        <v>44</v>
      </c>
      <c r="J53" s="16">
        <v>2</v>
      </c>
    </row>
    <row r="54" spans="1:10" x14ac:dyDescent="0.2">
      <c r="A54" s="19">
        <v>7</v>
      </c>
      <c r="B54" s="39" t="str">
        <f>HYPERLINK("C:\Users\JPHoppe\Documents\Publicações\Artigos\Periódicos\N\Netopiere\Vol 1\Horacek 1995.pdf","Horacek 1995")</f>
        <v>Horacek 1995</v>
      </c>
      <c r="C54" s="16">
        <v>1995</v>
      </c>
      <c r="D54" s="18" t="s">
        <v>1046</v>
      </c>
      <c r="E54" s="18" t="s">
        <v>182</v>
      </c>
      <c r="F54" s="16">
        <v>105</v>
      </c>
      <c r="G54" s="16">
        <v>106</v>
      </c>
      <c r="H54" s="14" t="s">
        <v>175</v>
      </c>
      <c r="I54" s="16">
        <v>1</v>
      </c>
      <c r="J54" s="16" t="s">
        <v>107</v>
      </c>
    </row>
    <row r="55" spans="1:10" x14ac:dyDescent="0.2">
      <c r="A55" s="19">
        <v>10</v>
      </c>
      <c r="B55" s="39" t="str">
        <f>HYPERLINK("C:\Users\JPHoppe\Documents\Publicações\Artigos\Periódicos\A\African Journal of Ecology\Vol 12\Howell &amp; Mainoya 1974.pdf","Howell &amp; Mainoya 1974")</f>
        <v>Howell &amp; Mainoya 1974</v>
      </c>
      <c r="C55" s="16">
        <v>1974</v>
      </c>
      <c r="D55" s="18" t="s">
        <v>1047</v>
      </c>
      <c r="E55" s="18" t="s">
        <v>201</v>
      </c>
      <c r="F55" s="16">
        <v>155</v>
      </c>
      <c r="G55" s="16">
        <v>155</v>
      </c>
      <c r="H55" s="14" t="s">
        <v>200</v>
      </c>
      <c r="I55" s="16">
        <v>12</v>
      </c>
      <c r="J55" s="16" t="s">
        <v>107</v>
      </c>
    </row>
    <row r="56" spans="1:10" x14ac:dyDescent="0.2">
      <c r="A56" s="19">
        <v>17</v>
      </c>
      <c r="B56" s="39" t="str">
        <f>HYPERLINK("C:\Users\JPHoppe\Documents\Publicações\Artigos\Periódicos\J\Journal of Zoology\Vol 191\Issue 3\Howell 1980.pdf","Howell 1980")</f>
        <v>Howell 1980</v>
      </c>
      <c r="C56" s="16">
        <v>1980</v>
      </c>
      <c r="D56" s="18" t="s">
        <v>1048</v>
      </c>
      <c r="E56" s="14" t="s">
        <v>232</v>
      </c>
      <c r="F56" s="16">
        <v>424</v>
      </c>
      <c r="G56" s="16">
        <v>427</v>
      </c>
      <c r="H56" s="14" t="s">
        <v>233</v>
      </c>
      <c r="I56" s="16">
        <v>191</v>
      </c>
      <c r="J56" s="16">
        <v>3</v>
      </c>
    </row>
    <row r="57" spans="1:10" x14ac:dyDescent="0.2">
      <c r="A57" s="19">
        <v>13</v>
      </c>
      <c r="B57" s="39" t="str">
        <f>HYPERLINK("C:\Users\JPHoppe\Documents\Publicações\Artigos\Periódicos\O\Oryx\Vol 31\Issue 4\Hsu 1997.pdf","Hsu 1997")</f>
        <v>Hsu 1997</v>
      </c>
      <c r="C57" s="16">
        <v>1997</v>
      </c>
      <c r="D57" s="18" t="s">
        <v>1049</v>
      </c>
      <c r="E57" s="14" t="s">
        <v>211</v>
      </c>
      <c r="F57" s="16">
        <v>295</v>
      </c>
      <c r="G57" s="16">
        <v>301</v>
      </c>
      <c r="H57" s="14" t="s">
        <v>212</v>
      </c>
      <c r="I57" s="16">
        <v>31</v>
      </c>
      <c r="J57" s="16">
        <v>4</v>
      </c>
    </row>
    <row r="58" spans="1:10" x14ac:dyDescent="0.2">
      <c r="A58" s="19">
        <v>12</v>
      </c>
      <c r="B58" s="39" t="str">
        <f>HYPERLINK("C:\Users\JPHoppe\Documents\Publicações\Artigos\Periódicos\M\Mammalia\Vol 67\Issue 3\Hsu 2003.pdf","Hsu 2003")</f>
        <v>Hsu 2003</v>
      </c>
      <c r="C58" s="16">
        <v>2003</v>
      </c>
      <c r="D58" s="18" t="s">
        <v>1049</v>
      </c>
      <c r="E58" s="18" t="s">
        <v>210</v>
      </c>
      <c r="F58" s="16">
        <v>451</v>
      </c>
      <c r="G58" s="16">
        <v>453</v>
      </c>
      <c r="H58" s="14" t="s">
        <v>209</v>
      </c>
      <c r="I58" s="16">
        <v>67</v>
      </c>
      <c r="J58" s="16">
        <v>3</v>
      </c>
    </row>
    <row r="59" spans="1:10" x14ac:dyDescent="0.2">
      <c r="A59" s="19">
        <v>79</v>
      </c>
      <c r="B59" s="39" t="str">
        <f>HYPERLINK("C:\Users\JPHoppe\Documents\Publicações\Artigos\Periódicos\C\Chiroptera Neotropical\Vol 17\Issue 2\Idoeta et al 2011.pdf","Idoeta et al 2011")</f>
        <v>Idoeta et al 2011</v>
      </c>
      <c r="C59" s="16">
        <v>2011</v>
      </c>
      <c r="D59" s="18" t="s">
        <v>1050</v>
      </c>
      <c r="E59" s="18" t="s">
        <v>516</v>
      </c>
      <c r="F59" s="16">
        <v>985</v>
      </c>
      <c r="G59" s="16">
        <v>988</v>
      </c>
      <c r="H59" s="14" t="s">
        <v>268</v>
      </c>
      <c r="I59" s="16">
        <v>17</v>
      </c>
      <c r="J59" s="16">
        <v>2</v>
      </c>
    </row>
    <row r="60" spans="1:10" x14ac:dyDescent="0.2">
      <c r="A60" s="19">
        <v>4</v>
      </c>
      <c r="B60" s="39" t="str">
        <f>HYPERLINK("C:\Users\JPHoppe\Documents\Publicações\Artigos\Periódicos\J\Journal of the Mammalogical Society of Japan\Vol 3\Imaizumi et al 1966.pdf","Imaizumi et al 1966")</f>
        <v>Imaizumi et al 1966</v>
      </c>
      <c r="C60" s="16">
        <v>1966</v>
      </c>
      <c r="D60" s="18" t="s">
        <v>1051</v>
      </c>
      <c r="E60" s="14" t="s">
        <v>167</v>
      </c>
      <c r="F60" s="16">
        <v>44</v>
      </c>
      <c r="G60" s="16">
        <v>45</v>
      </c>
      <c r="H60" s="14" t="s">
        <v>168</v>
      </c>
      <c r="I60" s="16">
        <v>3</v>
      </c>
      <c r="J60" s="16">
        <v>2</v>
      </c>
    </row>
    <row r="61" spans="1:10" x14ac:dyDescent="0.2">
      <c r="A61" s="5">
        <v>61</v>
      </c>
      <c r="B61" s="37" t="str">
        <f>HYPERLINK("C:\Users\JPHoppe\Documents\Publicações\Artigos\Periódicos\L\Lynx\Vol 34\Kanuch &amp; Kristin 2003.pdf","Kanuch &amp; Kristin 2003")</f>
        <v>Kanuch &amp; Kristin 2003</v>
      </c>
      <c r="C61" s="12">
        <v>2003</v>
      </c>
      <c r="D61" s="21" t="s">
        <v>1052</v>
      </c>
      <c r="E61" s="14" t="s">
        <v>449</v>
      </c>
      <c r="F61" s="12">
        <v>223</v>
      </c>
      <c r="G61" s="12">
        <v>224</v>
      </c>
      <c r="H61" s="13" t="s">
        <v>450</v>
      </c>
      <c r="I61" s="12">
        <v>34</v>
      </c>
      <c r="J61" s="12" t="s">
        <v>107</v>
      </c>
    </row>
    <row r="62" spans="1:10" x14ac:dyDescent="0.2">
      <c r="A62" s="19">
        <v>2</v>
      </c>
      <c r="B62" s="42" t="s">
        <v>151</v>
      </c>
      <c r="C62" s="19">
        <v>1983</v>
      </c>
      <c r="D62" s="20" t="s">
        <v>152</v>
      </c>
      <c r="E62" s="20" t="s">
        <v>154</v>
      </c>
      <c r="F62" s="19">
        <v>39</v>
      </c>
      <c r="G62" s="19">
        <v>40</v>
      </c>
      <c r="H62" s="20" t="s">
        <v>153</v>
      </c>
      <c r="I62" s="19">
        <v>24</v>
      </c>
      <c r="J62" s="19">
        <v>4</v>
      </c>
    </row>
    <row r="63" spans="1:10" x14ac:dyDescent="0.2">
      <c r="A63" s="19">
        <v>18</v>
      </c>
      <c r="B63" s="39" t="str">
        <f>HYPERLINK("C:\Users\JPHoppe\Documents\Publicações\Artigos\Periódicos\J\Journal of the Bombay Natural History Society\Vol 70\Khajuria 1972.pdf","Khajuria 1972")</f>
        <v>Khajuria 1972</v>
      </c>
      <c r="C63" s="16">
        <v>1972</v>
      </c>
      <c r="D63" s="18" t="s">
        <v>1053</v>
      </c>
      <c r="E63" s="18" t="s">
        <v>240</v>
      </c>
      <c r="F63" s="16">
        <v>197</v>
      </c>
      <c r="G63" s="16">
        <v>197</v>
      </c>
      <c r="H63" s="14" t="s">
        <v>239</v>
      </c>
      <c r="I63" s="16">
        <v>70</v>
      </c>
      <c r="J63" s="16" t="s">
        <v>107</v>
      </c>
    </row>
    <row r="64" spans="1:10" x14ac:dyDescent="0.2">
      <c r="A64" s="19">
        <v>15</v>
      </c>
      <c r="B64" s="41" t="s">
        <v>220</v>
      </c>
      <c r="C64" s="16">
        <v>1984</v>
      </c>
      <c r="D64" s="18" t="s">
        <v>1053</v>
      </c>
      <c r="E64" s="14" t="s">
        <v>221</v>
      </c>
      <c r="F64" s="16">
        <v>125</v>
      </c>
      <c r="G64" s="16">
        <v>126</v>
      </c>
      <c r="H64" s="14" t="s">
        <v>222</v>
      </c>
      <c r="I64" s="16">
        <v>36</v>
      </c>
      <c r="J64" s="16" t="s">
        <v>107</v>
      </c>
    </row>
    <row r="65" spans="1:10" x14ac:dyDescent="0.2">
      <c r="A65" s="5">
        <v>121</v>
      </c>
      <c r="B65" s="36" t="str">
        <f>HYPERLINK("C:\Users\JPHoppe\Documents\Publicações\Artigos\Periódicos\A\Acta Theriologica\Vol 2\Krzanowski 1958.pdf","Krzanowski 1958")</f>
        <v>Krzanowski 1958</v>
      </c>
      <c r="C65" s="5">
        <v>1958</v>
      </c>
      <c r="D65" t="s">
        <v>1054</v>
      </c>
      <c r="E65" s="20" t="s">
        <v>761</v>
      </c>
      <c r="F65" s="5">
        <v>285</v>
      </c>
      <c r="G65" s="5">
        <v>285</v>
      </c>
      <c r="H65" t="s">
        <v>762</v>
      </c>
      <c r="I65" s="5">
        <v>2</v>
      </c>
      <c r="J65" s="5">
        <v>14</v>
      </c>
    </row>
    <row r="66" spans="1:10" x14ac:dyDescent="0.2">
      <c r="A66" s="5">
        <v>123</v>
      </c>
      <c r="B66" s="38" t="str">
        <f>HYPERLINK("C:\Users\JPHoppe\Documents\Publicações\Artigos\Periódicos\L\Le Rhinolophe\Vol 17\Leblanc &amp; Taupin 2005.pdf","Leblanc &amp; Taupin 2005")</f>
        <v>Leblanc &amp; Taupin 2005</v>
      </c>
      <c r="C66" s="19">
        <v>2005</v>
      </c>
      <c r="D66" s="20" t="s">
        <v>1055</v>
      </c>
      <c r="E66" s="20" t="s">
        <v>764</v>
      </c>
      <c r="F66" s="19">
        <v>23</v>
      </c>
      <c r="G66" s="19">
        <v>27</v>
      </c>
      <c r="H66" s="20" t="s">
        <v>765</v>
      </c>
      <c r="I66" s="19">
        <v>17</v>
      </c>
      <c r="J66" s="19" t="s">
        <v>107</v>
      </c>
    </row>
    <row r="67" spans="1:10" x14ac:dyDescent="0.2">
      <c r="A67" s="5">
        <v>37</v>
      </c>
      <c r="B67" s="37" t="str">
        <f>HYPERLINK("C:\Users\JPHoppe\Documents\Publicações\Artigos\Periódicos\J\Journal of Mammalogy\Vol 48\Issue 3\Linares 1967.pdf","Linares 1967")</f>
        <v>Linares 1967</v>
      </c>
      <c r="C67" s="12">
        <v>1967</v>
      </c>
      <c r="D67" s="21" t="s">
        <v>1056</v>
      </c>
      <c r="E67" s="18" t="s">
        <v>344</v>
      </c>
      <c r="F67" s="12">
        <v>464</v>
      </c>
      <c r="G67" s="12">
        <v>465</v>
      </c>
      <c r="H67" s="13" t="s">
        <v>343</v>
      </c>
      <c r="I67" s="12">
        <v>48</v>
      </c>
      <c r="J67" s="12">
        <v>3</v>
      </c>
    </row>
    <row r="68" spans="1:10" x14ac:dyDescent="0.2">
      <c r="A68" s="19">
        <v>58</v>
      </c>
      <c r="B68" s="39" t="str">
        <f>HYPERLINK("C:\Users\JPHoppe\Documents\Publicações\Artigos\Periódicos\B\Barbastella\Vol 6\Issue 1\López-Baucells et al 2013.pdf","López-Baucells et al 2013")</f>
        <v>López-Baucells et al 2013</v>
      </c>
      <c r="C68" s="16">
        <v>2013</v>
      </c>
      <c r="D68" s="18" t="s">
        <v>1057</v>
      </c>
      <c r="E68" s="18" t="s">
        <v>432</v>
      </c>
      <c r="F68" s="16">
        <v>63</v>
      </c>
      <c r="G68" s="16">
        <v>70</v>
      </c>
      <c r="H68" s="14" t="s">
        <v>101</v>
      </c>
      <c r="I68" s="16">
        <v>6</v>
      </c>
      <c r="J68" s="16">
        <v>1</v>
      </c>
    </row>
    <row r="69" spans="1:10" x14ac:dyDescent="0.2">
      <c r="A69" s="5">
        <v>80</v>
      </c>
      <c r="B69" s="37" t="str">
        <f>HYPERLINK("C:\Users\JPHoppe\Documents\Publicações\Artigos\Periódicos\C\Chiroptera Neotropical\Vol 18\Issue 1\López-Wilchis &amp; Galván 2012.pdf","López-Wilchis &amp; Galván 2012")</f>
        <v>López-Wilchis &amp; Galván 2012</v>
      </c>
      <c r="C69" s="12">
        <v>2012</v>
      </c>
      <c r="D69" s="21" t="s">
        <v>1058</v>
      </c>
      <c r="E69" s="18" t="s">
        <v>526</v>
      </c>
      <c r="F69" s="12">
        <v>1111</v>
      </c>
      <c r="G69" s="12">
        <v>1114</v>
      </c>
      <c r="H69" s="13" t="s">
        <v>268</v>
      </c>
      <c r="I69" s="12">
        <v>18</v>
      </c>
      <c r="J69" s="12">
        <v>1</v>
      </c>
    </row>
    <row r="70" spans="1:10" x14ac:dyDescent="0.2">
      <c r="A70" s="5">
        <v>81</v>
      </c>
      <c r="B70" s="37" t="str">
        <f>HYPERLINK("C:\Users\JPHoppe\Documents\Publicações\Artigos\Periódicos\Z\Zoological Research\Vol 28\Issue 4\Luo et al 2007.pdf","Luo et al 2007")</f>
        <v>Luo et al 2007</v>
      </c>
      <c r="C70" s="12">
        <v>2007</v>
      </c>
      <c r="D70" s="21" t="s">
        <v>1059</v>
      </c>
      <c r="E70" s="18" t="s">
        <v>530</v>
      </c>
      <c r="F70" s="12">
        <v>443</v>
      </c>
      <c r="G70" s="12">
        <v>445</v>
      </c>
      <c r="H70" s="15" t="s">
        <v>529</v>
      </c>
      <c r="I70" s="12">
        <v>28</v>
      </c>
      <c r="J70" s="12">
        <v>4</v>
      </c>
    </row>
    <row r="71" spans="1:10" x14ac:dyDescent="0.2">
      <c r="A71" s="19">
        <v>82</v>
      </c>
      <c r="B71" s="39" t="str">
        <f>HYPERLINK("C:\Users\JPHoppe\Documents\Publicações\Artigos\Periódicos\I\Investigación, Biodiversidad y Desarrollo\Vol 30\Issue 2\Mantilla-Meluk &amp; Jiménez-Ortega 2011.pdf","Mantilla-Meluk &amp; Jiménez-Ortega 2011")</f>
        <v>Mantilla-Meluk &amp; Jiménez-Ortega 2011</v>
      </c>
      <c r="C71" s="16">
        <v>2011</v>
      </c>
      <c r="D71" s="18" t="s">
        <v>1060</v>
      </c>
      <c r="E71" s="18" t="s">
        <v>534</v>
      </c>
      <c r="F71" s="16">
        <v>97</v>
      </c>
      <c r="G71" s="16">
        <v>100</v>
      </c>
      <c r="H71" s="14" t="s">
        <v>533</v>
      </c>
      <c r="I71" s="16">
        <v>30</v>
      </c>
      <c r="J71" s="16">
        <v>2</v>
      </c>
    </row>
    <row r="72" spans="1:10" x14ac:dyDescent="0.2">
      <c r="A72" s="19">
        <v>32</v>
      </c>
      <c r="B72" s="39" t="str">
        <f>HYPERLINK("C:\Users\JPHoppe\Documents\Publicações\Artigos\Periódicos\C\Chiroptera Neotropical\Vol 16\Issue 2\Marín-Vásquez et al 2010.pdf","Marín-Vásquez et al 2010")</f>
        <v>Marín-Vásquez et al 2010</v>
      </c>
      <c r="C72" s="16">
        <v>2010</v>
      </c>
      <c r="D72" s="18" t="s">
        <v>1061</v>
      </c>
      <c r="E72" s="18" t="s">
        <v>316</v>
      </c>
      <c r="F72" s="16">
        <v>706</v>
      </c>
      <c r="G72" s="16">
        <v>709</v>
      </c>
      <c r="H72" s="14" t="s">
        <v>268</v>
      </c>
      <c r="I72" s="16">
        <v>16</v>
      </c>
      <c r="J72" s="16">
        <v>2</v>
      </c>
    </row>
    <row r="73" spans="1:10" x14ac:dyDescent="0.2">
      <c r="A73" s="5">
        <v>35</v>
      </c>
      <c r="B73" s="43" t="s">
        <v>328</v>
      </c>
      <c r="C73" s="12">
        <v>2013</v>
      </c>
      <c r="D73" s="21" t="s">
        <v>1062</v>
      </c>
      <c r="E73" s="14" t="s">
        <v>329</v>
      </c>
      <c r="F73" s="12">
        <v>253</v>
      </c>
      <c r="G73" s="12">
        <v>265</v>
      </c>
      <c r="H73" s="13" t="s">
        <v>330</v>
      </c>
      <c r="I73" s="12">
        <v>4</v>
      </c>
      <c r="J73" s="12" t="s">
        <v>107</v>
      </c>
    </row>
    <row r="74" spans="1:10" x14ac:dyDescent="0.2">
      <c r="A74" s="5">
        <v>83</v>
      </c>
      <c r="B74" s="43" t="s">
        <v>542</v>
      </c>
      <c r="C74" s="12">
        <v>1998</v>
      </c>
      <c r="D74" s="21" t="s">
        <v>1063</v>
      </c>
      <c r="E74" s="18" t="s">
        <v>544</v>
      </c>
      <c r="F74" s="12">
        <v>327</v>
      </c>
      <c r="G74" s="12">
        <v>330</v>
      </c>
      <c r="H74" s="13" t="s">
        <v>543</v>
      </c>
      <c r="I74" s="12">
        <v>39</v>
      </c>
      <c r="J74" s="12" t="s">
        <v>107</v>
      </c>
    </row>
    <row r="75" spans="1:10" x14ac:dyDescent="0.2">
      <c r="A75" s="5">
        <v>84</v>
      </c>
      <c r="B75" s="37" t="str">
        <f>HYPERLINK("C:\Users\JPHoppe\Documents\Publicações\Artigos\Periódicos\J\Journal of Mammalogy\Vol 41\Issue 1\McCoy 1960.pdf","McCoy 1960")</f>
        <v>McCoy 1960</v>
      </c>
      <c r="C75" s="12">
        <v>1960</v>
      </c>
      <c r="D75" s="21" t="s">
        <v>1064</v>
      </c>
      <c r="E75" s="18" t="s">
        <v>545</v>
      </c>
      <c r="F75" s="12">
        <v>119</v>
      </c>
      <c r="G75" s="12">
        <v>119</v>
      </c>
      <c r="H75" s="13" t="s">
        <v>343</v>
      </c>
      <c r="I75" s="12">
        <v>41</v>
      </c>
      <c r="J75" s="12">
        <v>1</v>
      </c>
    </row>
    <row r="76" spans="1:10" x14ac:dyDescent="0.2">
      <c r="A76" s="5">
        <v>85</v>
      </c>
      <c r="B76" s="37" t="str">
        <f>HYPERLINK("C:\Users\JPHoppe\Documents\Publicações\Artigos\Periódicos\C\Chiroptera Neotropical\Vol 16\Issue 2\Medina &amp; López 2010.pdf","Medina &amp; López 2010")</f>
        <v>Medina &amp; López 2010</v>
      </c>
      <c r="C76" s="12">
        <v>2010</v>
      </c>
      <c r="D76" s="21" t="s">
        <v>1065</v>
      </c>
      <c r="E76" s="18" t="s">
        <v>550</v>
      </c>
      <c r="F76" s="12">
        <v>758</v>
      </c>
      <c r="G76" s="12">
        <v>761</v>
      </c>
      <c r="H76" s="13" t="s">
        <v>268</v>
      </c>
      <c r="I76" s="12">
        <v>16</v>
      </c>
      <c r="J76" s="12">
        <v>2</v>
      </c>
    </row>
    <row r="77" spans="1:10" x14ac:dyDescent="0.2">
      <c r="A77" s="19">
        <v>118</v>
      </c>
      <c r="B77" s="38" t="str">
        <f>HYPERLINK("C:\Users\JPHoppe\Documents\Publicações\Artigos\Periódicos\A\Anales de Biología\Vol 39\Mejía-Quintanilla et al 2017.pdf","Mejía-Quintanilla et al 2017")</f>
        <v>Mejía-Quintanilla et al 2017</v>
      </c>
      <c r="C77" s="19">
        <v>2017</v>
      </c>
      <c r="D77" s="20" t="s">
        <v>1066</v>
      </c>
      <c r="E77" s="20" t="s">
        <v>748</v>
      </c>
      <c r="F77" s="19">
        <v>149</v>
      </c>
      <c r="G77" s="19">
        <v>153</v>
      </c>
      <c r="H77" s="20" t="s">
        <v>749</v>
      </c>
      <c r="I77" s="19">
        <v>39</v>
      </c>
      <c r="J77" s="19" t="s">
        <v>107</v>
      </c>
    </row>
    <row r="78" spans="1:10" x14ac:dyDescent="0.2">
      <c r="A78" s="5">
        <v>119</v>
      </c>
      <c r="B78" s="36" t="str">
        <f>HYPERLINK("C:\Users\JPHoppe\Documents\Publicações\Artigos\Periódicos\A\Acta Biologica Venezuelica\Vol 36\Issue 1\Melo-Torres &amp; Salazar-Candelle 2016.pdf","Melo-Torres &amp; Salazar-Candelle 2016")</f>
        <v>Melo-Torres &amp; Salazar-Candelle 2016</v>
      </c>
      <c r="C78" s="5">
        <v>2016</v>
      </c>
      <c r="D78" t="s">
        <v>1067</v>
      </c>
      <c r="E78" s="20" t="s">
        <v>753</v>
      </c>
      <c r="F78" s="5">
        <v>33</v>
      </c>
      <c r="G78" s="5">
        <v>43</v>
      </c>
      <c r="H78" t="s">
        <v>754</v>
      </c>
      <c r="I78" s="5">
        <v>36</v>
      </c>
      <c r="J78" s="5">
        <v>1</v>
      </c>
    </row>
    <row r="79" spans="1:10" x14ac:dyDescent="0.2">
      <c r="A79" s="5">
        <v>86</v>
      </c>
      <c r="B79" s="37" t="str">
        <f>HYPERLINK("C:\Users\JPHoppe\Documents\Publicações\Artigos\Periódicos\J\Journal of Mammalogy\Vol 37\Issue 4\Metzger 1956.pdf","Metzger 1956")</f>
        <v>Metzger 1956</v>
      </c>
      <c r="C79" s="12">
        <v>1956</v>
      </c>
      <c r="D79" s="21" t="s">
        <v>1068</v>
      </c>
      <c r="E79" s="18" t="s">
        <v>553</v>
      </c>
      <c r="F79" s="12">
        <v>546</v>
      </c>
      <c r="G79" s="12">
        <v>546</v>
      </c>
      <c r="H79" s="13" t="s">
        <v>343</v>
      </c>
      <c r="I79" s="12">
        <v>37</v>
      </c>
      <c r="J79" s="12">
        <v>4</v>
      </c>
    </row>
    <row r="80" spans="1:10" x14ac:dyDescent="0.2">
      <c r="A80" s="19">
        <v>87</v>
      </c>
      <c r="B80" s="39" t="str">
        <f>HYPERLINK("C:\Users\JPHoppe\Documents\Publicações\Artigos\Periódicos\C\Chiroptera Neotropical\Vol 16\Issue 2\Miranda et al 2010.pdf","Miranda et al 2010")</f>
        <v>Miranda et al 2010</v>
      </c>
      <c r="C80" s="16">
        <v>2010</v>
      </c>
      <c r="D80" s="18" t="s">
        <v>1069</v>
      </c>
      <c r="E80" s="18" t="s">
        <v>555</v>
      </c>
      <c r="F80" s="16">
        <v>762</v>
      </c>
      <c r="G80" s="16">
        <v>768</v>
      </c>
      <c r="H80" s="14" t="s">
        <v>268</v>
      </c>
      <c r="I80" s="16">
        <v>16</v>
      </c>
      <c r="J80" s="16">
        <v>2</v>
      </c>
    </row>
    <row r="81" spans="1:10" x14ac:dyDescent="0.2">
      <c r="A81" s="5">
        <v>88</v>
      </c>
      <c r="B81" s="37" t="str">
        <f>HYPERLINK("C:\Users\JPHoppe\Documents\Publicações\Artigos\Periódicos\J\Journal of Mammalogy\Vol 44\Issue 3\Mitchell 1963.pdf","Mitchell 1963")</f>
        <v>Mitchell 1963</v>
      </c>
      <c r="C81" s="12">
        <v>1963</v>
      </c>
      <c r="D81" s="21" t="s">
        <v>1070</v>
      </c>
      <c r="E81" s="14" t="s">
        <v>557</v>
      </c>
      <c r="F81" s="12">
        <v>422</v>
      </c>
      <c r="G81" s="12">
        <v>422</v>
      </c>
      <c r="H81" s="13" t="s">
        <v>343</v>
      </c>
      <c r="I81" s="12">
        <v>44</v>
      </c>
      <c r="J81" s="12">
        <v>3</v>
      </c>
    </row>
    <row r="82" spans="1:10" x14ac:dyDescent="0.2">
      <c r="A82" s="19">
        <v>27</v>
      </c>
      <c r="B82" s="39" t="str">
        <f>HYPERLINK("C:\Users\JPHoppe\Documents\Publicações\Artigos\Periódicos\A\Arquivo Brasileiro de Medicina Veterinária e Zootecnia\Vol 44\Issue 6\Moreira et al 1992.pdf","Moreira et al 1992")</f>
        <v>Moreira et al 1992</v>
      </c>
      <c r="C82" s="16">
        <v>1992</v>
      </c>
      <c r="D82" s="18" t="s">
        <v>1071</v>
      </c>
      <c r="E82" s="18" t="s">
        <v>282</v>
      </c>
      <c r="F82" s="16">
        <v>549</v>
      </c>
      <c r="G82" s="16">
        <v>552</v>
      </c>
      <c r="H82" s="14" t="s">
        <v>281</v>
      </c>
      <c r="I82" s="16">
        <v>44</v>
      </c>
      <c r="J82" s="16">
        <v>6</v>
      </c>
    </row>
    <row r="83" spans="1:10" x14ac:dyDescent="0.2">
      <c r="A83" s="5">
        <v>89</v>
      </c>
      <c r="B83" s="37" t="str">
        <f>HYPERLINK("C:\Users\JPHoppe\Documents\Publicações\Artigos\Periódicos\C\Chiroptera Neotropical\Vol 20\Issue 2\Muñoz-Romo et al 2014.pdf","Muñoz-Romo et al 2014")</f>
        <v>Muñoz-Romo et al 2014</v>
      </c>
      <c r="C83" s="12">
        <v>2014</v>
      </c>
      <c r="D83" s="21" t="s">
        <v>1072</v>
      </c>
      <c r="E83" s="18" t="s">
        <v>560</v>
      </c>
      <c r="F83" s="12">
        <v>1301</v>
      </c>
      <c r="G83" s="12">
        <v>1304</v>
      </c>
      <c r="H83" s="13" t="s">
        <v>268</v>
      </c>
      <c r="I83" s="12">
        <v>20</v>
      </c>
      <c r="J83" s="12">
        <v>2</v>
      </c>
    </row>
    <row r="84" spans="1:10" x14ac:dyDescent="0.2">
      <c r="A84" s="19">
        <v>64</v>
      </c>
      <c r="B84" s="39" t="str">
        <f>HYPERLINK("C:\Users\JPHoppe\Documents\Publicações\Artigos\Periódicos\T\Travaux du Muséum National d’Histoire Naturelle\Vol 49\Murariu &amp; Chisamera 2006.pdf","Murariu &amp; Chisamera 2006")</f>
        <v>Murariu &amp; Chisamera 2006</v>
      </c>
      <c r="C84" s="16">
        <v>2006</v>
      </c>
      <c r="D84" s="18" t="s">
        <v>1073</v>
      </c>
      <c r="E84" s="18" t="s">
        <v>463</v>
      </c>
      <c r="F84" s="16">
        <v>353</v>
      </c>
      <c r="G84" s="16">
        <v>357</v>
      </c>
      <c r="H84" s="14" t="s">
        <v>462</v>
      </c>
      <c r="I84" s="16">
        <v>49</v>
      </c>
      <c r="J84" s="16" t="s">
        <v>107</v>
      </c>
    </row>
    <row r="85" spans="1:10" x14ac:dyDescent="0.2">
      <c r="A85" s="19">
        <v>130</v>
      </c>
      <c r="B85" s="38" t="str">
        <f>HYPERLINK("C:\Users\JPHoppe\Documents\Publicações\Artigos\Periódicos\B\Borneo Journal of Resource Science and Technology\Vol 5\Issue 2\Naharuddin et al 2015.pdf","Naharuddin et al 2015")</f>
        <v>Naharuddin et al 2015</v>
      </c>
      <c r="C85" s="19">
        <v>2015</v>
      </c>
      <c r="D85" s="20" t="s">
        <v>1074</v>
      </c>
      <c r="E85" s="20" t="s">
        <v>805</v>
      </c>
      <c r="F85" s="19">
        <v>44</v>
      </c>
      <c r="G85" s="19">
        <v>52</v>
      </c>
      <c r="H85" s="20" t="s">
        <v>806</v>
      </c>
      <c r="I85" s="19">
        <v>5</v>
      </c>
      <c r="J85" s="19">
        <v>2</v>
      </c>
    </row>
    <row r="86" spans="1:10" x14ac:dyDescent="0.2">
      <c r="A86" s="19">
        <v>3</v>
      </c>
      <c r="B86" s="38" t="str">
        <f>HYPERLINK("C:\Users\JPHoppe\Documents\Publicações\Artigos\Periódicos\J\Journal of Henan Normal University (Natural Science)\Vol 36\Issue 1\Niu et al 2008.pdf","Niu et al 2008")</f>
        <v>Niu et al 2008</v>
      </c>
      <c r="C86" s="19">
        <v>2008</v>
      </c>
      <c r="D86" s="20" t="s">
        <v>1075</v>
      </c>
      <c r="E86" s="20" t="s">
        <v>161</v>
      </c>
      <c r="F86" s="19">
        <v>149</v>
      </c>
      <c r="G86" s="19">
        <v>150</v>
      </c>
      <c r="H86" s="20" t="s">
        <v>162</v>
      </c>
      <c r="I86" s="19">
        <v>36</v>
      </c>
      <c r="J86" s="19">
        <v>1</v>
      </c>
    </row>
    <row r="87" spans="1:10" x14ac:dyDescent="0.2">
      <c r="A87" s="5">
        <v>90</v>
      </c>
      <c r="B87" s="37" t="str">
        <f>HYPERLINK("C:\Users\JPHoppe\Documents\Publicações\Artigos\Periódicos\J\Journal of the Mammalogical Society of Japan\Vol 9\Issue 6\Obara 1983.pdf","Obara 1983")</f>
        <v>Obara 1983</v>
      </c>
      <c r="C87" s="12">
        <v>1983</v>
      </c>
      <c r="D87" s="21" t="s">
        <v>1076</v>
      </c>
      <c r="E87" s="18" t="s">
        <v>566</v>
      </c>
      <c r="F87" s="12">
        <v>302</v>
      </c>
      <c r="G87" s="12">
        <v>307</v>
      </c>
      <c r="H87" s="13" t="s">
        <v>168</v>
      </c>
      <c r="I87" s="12">
        <v>9</v>
      </c>
      <c r="J87" s="12">
        <v>6</v>
      </c>
    </row>
    <row r="88" spans="1:10" x14ac:dyDescent="0.2">
      <c r="A88" s="19">
        <v>31</v>
      </c>
      <c r="B88" s="39" t="str">
        <f>HYPERLINK("C:\Users\JPHoppe\Documents\Publicações\Artigos\Periódicos\M\Memoria de la Fundacion La Salle de Ciencias Naturales\Vol 48\Ochoa &amp; Sanchez 1988.pdf","Ochoa &amp; Sanchez 1988")</f>
        <v>Ochoa &amp; Sanchez 1988</v>
      </c>
      <c r="C88" s="16">
        <v>1988</v>
      </c>
      <c r="D88" s="18" t="s">
        <v>1077</v>
      </c>
      <c r="E88" s="18" t="s">
        <v>315</v>
      </c>
      <c r="F88" s="16">
        <v>133</v>
      </c>
      <c r="G88" s="16">
        <v>154</v>
      </c>
      <c r="H88" s="14" t="s">
        <v>314</v>
      </c>
      <c r="I88" s="16">
        <v>48</v>
      </c>
      <c r="J88" s="16" t="s">
        <v>107</v>
      </c>
    </row>
    <row r="89" spans="1:10" x14ac:dyDescent="0.2">
      <c r="A89" s="19">
        <v>91</v>
      </c>
      <c r="B89" s="39" t="str">
        <f>HYPERLINK("C:\Users\JPHoppe\Documents\Publicações\Artigos\Periódicos\M\Mammalogy Notes\Vol 1\Issue 1\Olarte-González et al 2014.pdf","Olarte-González et al 2014")</f>
        <v>Olarte-González et al 2014</v>
      </c>
      <c r="C89" s="16">
        <v>2014</v>
      </c>
      <c r="D89" s="18" t="s">
        <v>1078</v>
      </c>
      <c r="E89" s="18" t="s">
        <v>569</v>
      </c>
      <c r="F89" s="16">
        <v>7</v>
      </c>
      <c r="G89" s="16">
        <v>8</v>
      </c>
      <c r="H89" s="14" t="s">
        <v>341</v>
      </c>
      <c r="I89" s="16">
        <v>1</v>
      </c>
      <c r="J89" s="16">
        <v>1</v>
      </c>
    </row>
    <row r="90" spans="1:10" x14ac:dyDescent="0.2">
      <c r="A90" s="5">
        <v>92</v>
      </c>
      <c r="B90" s="37" t="str">
        <f>HYPERLINK("C:\Users\JPHoppe\Documents\Publicações\Artigos\Periódicos\C\Chiroptera Neotropical\Vol 14\Issue 2\Oliveira &amp; Aguiar 2008.pdf","Oliveira &amp; Aguiar 2008")</f>
        <v>Oliveira &amp; Aguiar 2008</v>
      </c>
      <c r="C90" s="12">
        <v>2008</v>
      </c>
      <c r="D90" s="21" t="s">
        <v>1079</v>
      </c>
      <c r="E90" s="14" t="s">
        <v>571</v>
      </c>
      <c r="F90" s="12">
        <v>421</v>
      </c>
      <c r="G90" s="12">
        <v>423</v>
      </c>
      <c r="H90" s="13" t="s">
        <v>268</v>
      </c>
      <c r="I90" s="12">
        <v>14</v>
      </c>
      <c r="J90" s="12">
        <v>2</v>
      </c>
    </row>
    <row r="91" spans="1:10" x14ac:dyDescent="0.2">
      <c r="A91" s="5">
        <v>133</v>
      </c>
      <c r="B91" s="37" t="str">
        <f>HYPERLINK("C:\Users\JPHoppe\Documents\Publicações\Artigos\Periódicos\J\Journal of Mammalogy\Vol 19\Issue 4\Osgood 1938.pdf","Osgood 1938")</f>
        <v>Osgood 1938</v>
      </c>
      <c r="C91" s="5">
        <v>1938</v>
      </c>
      <c r="D91" s="20" t="s">
        <v>1080</v>
      </c>
      <c r="E91" s="20" t="s">
        <v>823</v>
      </c>
      <c r="F91" s="5">
        <v>435</v>
      </c>
      <c r="G91" s="5">
        <v>441</v>
      </c>
      <c r="H91" s="20" t="s">
        <v>343</v>
      </c>
      <c r="I91" s="5">
        <v>19</v>
      </c>
      <c r="J91" s="5">
        <v>4</v>
      </c>
    </row>
    <row r="92" spans="1:10" x14ac:dyDescent="0.2">
      <c r="A92" s="5">
        <v>93</v>
      </c>
      <c r="B92" s="37" t="str">
        <f>HYPERLINK("C:\Users\JPHoppe\Documents\Publicações\Artigos\Periódicos\N\Natura Neotropicalis\Vol 40\Issue 1-2\Pautasso et al 2009.pdf","Pautasso et al 2009")</f>
        <v>Pautasso et al 2009</v>
      </c>
      <c r="C92" s="12">
        <v>2009</v>
      </c>
      <c r="D92" s="21" t="s">
        <v>1081</v>
      </c>
      <c r="E92" s="14" t="s">
        <v>576</v>
      </c>
      <c r="F92" s="12">
        <v>95</v>
      </c>
      <c r="G92" s="12">
        <v>101</v>
      </c>
      <c r="H92" s="13" t="s">
        <v>577</v>
      </c>
      <c r="I92" s="12">
        <v>40</v>
      </c>
      <c r="J92" s="26" t="s">
        <v>403</v>
      </c>
    </row>
    <row r="93" spans="1:10" x14ac:dyDescent="0.2">
      <c r="A93" s="5">
        <v>94</v>
      </c>
      <c r="B93" s="37" t="str">
        <f>HYPERLINK("C:\Users\JPHoppe\Documents\Publicações\Artigos\Periódicos\B\Bat Research News\Vol 39\Issue 1\Pozo &amp; Escobedo-Cabrera 1998.pdf","Pozo &amp; Escobedo-Cabrera 1998")</f>
        <v>Pozo &amp; Escobedo-Cabrera 1998</v>
      </c>
      <c r="C93" s="12">
        <v>1998</v>
      </c>
      <c r="D93" s="21" t="s">
        <v>1082</v>
      </c>
      <c r="E93" s="18" t="s">
        <v>581</v>
      </c>
      <c r="F93" s="12">
        <v>27</v>
      </c>
      <c r="G93" s="12">
        <v>28</v>
      </c>
      <c r="H93" s="13" t="s">
        <v>153</v>
      </c>
      <c r="I93" s="12">
        <v>39</v>
      </c>
      <c r="J93" s="12">
        <v>1</v>
      </c>
    </row>
    <row r="94" spans="1:10" x14ac:dyDescent="0.2">
      <c r="A94" s="5">
        <v>127</v>
      </c>
      <c r="B94" s="36" t="str">
        <f>HYPERLINK("C:\Users\JPHoppe\Documents\Publicações\Artigos\Periódicos\L\L'Envol des Chiros\Vol 10\Prévost et al 2011.pdf","Prévost et al 2011")</f>
        <v>Prévost et al 2011</v>
      </c>
      <c r="C94" s="5">
        <v>2011</v>
      </c>
      <c r="D94" s="20" t="s">
        <v>1083</v>
      </c>
      <c r="E94" s="20" t="s">
        <v>795</v>
      </c>
      <c r="F94" s="5">
        <v>10</v>
      </c>
      <c r="G94" s="5">
        <v>10</v>
      </c>
      <c r="H94" t="s">
        <v>782</v>
      </c>
      <c r="I94" s="5">
        <v>10</v>
      </c>
      <c r="J94" s="5" t="s">
        <v>107</v>
      </c>
    </row>
    <row r="95" spans="1:10" x14ac:dyDescent="0.2">
      <c r="A95" s="5">
        <v>95</v>
      </c>
      <c r="B95" s="37" t="str">
        <f>HYPERLINK("C:\Users\JPHoppe\Documents\Publicações\Artigos\Periódicos\J\Journal of Zoology\Proceedings of the Zoological Society of London\Vol 52\Issue 4\Pryer 1884.pdf","Pryer 1884")</f>
        <v>Pryer 1884</v>
      </c>
      <c r="C95" s="12">
        <v>1884</v>
      </c>
      <c r="D95" s="21" t="s">
        <v>1084</v>
      </c>
      <c r="E95" s="14" t="s">
        <v>587</v>
      </c>
      <c r="F95" s="12">
        <v>532</v>
      </c>
      <c r="G95" s="12">
        <v>538</v>
      </c>
      <c r="H95" s="13" t="s">
        <v>588</v>
      </c>
      <c r="I95" s="12">
        <v>52</v>
      </c>
      <c r="J95" s="12">
        <v>4</v>
      </c>
    </row>
    <row r="96" spans="1:10" x14ac:dyDescent="0.2">
      <c r="A96" s="5">
        <v>96</v>
      </c>
      <c r="B96" s="37" t="str">
        <f>HYPERLINK("C:\Users\JPHoppe\Documents\Publicações\Artigos\Periódicos\M\Malagasy Nature\Vol 8\Ramasindrazana et al 2014.pdf","Ramasindrazana et al 2014")</f>
        <v>Ramasindrazana et al 2014</v>
      </c>
      <c r="C96" s="12">
        <v>2014</v>
      </c>
      <c r="D96" s="21" t="s">
        <v>1085</v>
      </c>
      <c r="E96" s="14" t="s">
        <v>593</v>
      </c>
      <c r="F96" s="12">
        <v>103</v>
      </c>
      <c r="G96" s="12">
        <v>104</v>
      </c>
      <c r="H96" s="13" t="s">
        <v>594</v>
      </c>
      <c r="I96" s="12">
        <v>8</v>
      </c>
      <c r="J96" s="12" t="s">
        <v>107</v>
      </c>
    </row>
    <row r="97" spans="1:10" x14ac:dyDescent="0.2">
      <c r="A97" s="19">
        <v>29</v>
      </c>
      <c r="B97" s="39" t="str">
        <f>HYPERLINK("C:\Users\JPHoppe\Documents\Publicações\Artigos\Periódicos\R\Revista Veterinaria\Vol 21\Issue 1\Ramírez et al 2010.pdf","Ramírez et al 2010")</f>
        <v>Ramírez et al 2010</v>
      </c>
      <c r="C97" s="16">
        <v>2010</v>
      </c>
      <c r="D97" s="18" t="s">
        <v>1086</v>
      </c>
      <c r="E97" s="18" t="s">
        <v>300</v>
      </c>
      <c r="F97" s="16">
        <v>63</v>
      </c>
      <c r="G97" s="16">
        <v>65</v>
      </c>
      <c r="H97" s="14" t="s">
        <v>297</v>
      </c>
      <c r="I97" s="16">
        <v>21</v>
      </c>
      <c r="J97" s="16">
        <v>1</v>
      </c>
    </row>
    <row r="98" spans="1:10" x14ac:dyDescent="0.2">
      <c r="A98" s="5">
        <v>125</v>
      </c>
      <c r="B98" s="36" t="str">
        <f>HYPERLINK("C:\Users\JPHoppe\Documents\Publicações\Artigos\Periódicos\L\La feuille de le contact Plecotus\Vol 15\Redant 2002.pdf","Redant 2002")</f>
        <v>Redant 2002</v>
      </c>
      <c r="C98" s="5">
        <v>2002</v>
      </c>
      <c r="D98" s="20" t="s">
        <v>1087</v>
      </c>
      <c r="E98" s="20" t="s">
        <v>784</v>
      </c>
      <c r="F98" s="5">
        <v>3</v>
      </c>
      <c r="G98" s="5">
        <v>3</v>
      </c>
      <c r="H98" t="s">
        <v>785</v>
      </c>
      <c r="I98" s="5">
        <v>15</v>
      </c>
      <c r="J98" s="5" t="s">
        <v>107</v>
      </c>
    </row>
    <row r="99" spans="1:10" x14ac:dyDescent="0.2">
      <c r="A99" s="5">
        <v>97</v>
      </c>
      <c r="B99" s="37" t="str">
        <f>HYPERLINK("C:\Users\JPHoppe\Documents\Publicações\Artigos\Periódicos\C\Chiroptera Neotropical\Vol 20\Issue 2\Rengifo et al 2014.pdf","Rengifo et al 2014")</f>
        <v>Rengifo et al 2014</v>
      </c>
      <c r="C99" s="12">
        <v>2014</v>
      </c>
      <c r="D99" s="21" t="s">
        <v>1088</v>
      </c>
      <c r="E99" s="18" t="s">
        <v>598</v>
      </c>
      <c r="F99" s="12">
        <v>1288</v>
      </c>
      <c r="G99" s="12">
        <v>1291</v>
      </c>
      <c r="H99" s="13" t="s">
        <v>268</v>
      </c>
      <c r="I99" s="12">
        <v>20</v>
      </c>
      <c r="J99" s="12">
        <v>2</v>
      </c>
    </row>
    <row r="100" spans="1:10" x14ac:dyDescent="0.2">
      <c r="A100" s="19">
        <v>45</v>
      </c>
      <c r="B100" s="39" t="str">
        <f>HYPERLINK("C:\Users\JPHoppe\Documents\Publicações\Artigos\Periódicos\C\Chiroptera Neotropical\Vol 19\Issue 1\Rocha et al 2013.pdf","Rocha et al 2013")</f>
        <v>Rocha et al 2013</v>
      </c>
      <c r="C100" s="16">
        <v>2013</v>
      </c>
      <c r="D100" s="18" t="s">
        <v>1089</v>
      </c>
      <c r="E100" s="18" t="s">
        <v>382</v>
      </c>
      <c r="F100" s="16">
        <v>1151</v>
      </c>
      <c r="G100" s="16">
        <v>1153</v>
      </c>
      <c r="H100" s="14" t="s">
        <v>268</v>
      </c>
      <c r="I100" s="16">
        <v>19</v>
      </c>
      <c r="J100" s="16">
        <v>1</v>
      </c>
    </row>
    <row r="101" spans="1:10" x14ac:dyDescent="0.2">
      <c r="A101" s="5">
        <v>98</v>
      </c>
      <c r="B101" s="37" t="str">
        <f>HYPERLINK("C:\Users\JPHoppe\Documents\Publicações\Artigos\Periódicos\M\Mammalian Species\Laurasiatheria\Chiroptera\Yangochiroptera\Noctilionoidea\Mormoopidae\Pteronotus quadridens.pdf","Rodríguez-Duran &amp; Kunz 1992")</f>
        <v>Rodríguez-Duran &amp; Kunz 1992</v>
      </c>
      <c r="C101" s="12">
        <v>1992</v>
      </c>
      <c r="D101" s="21" t="s">
        <v>1090</v>
      </c>
      <c r="E101" s="27" t="s">
        <v>60</v>
      </c>
      <c r="F101" s="12">
        <v>1</v>
      </c>
      <c r="G101" s="12">
        <v>4</v>
      </c>
      <c r="H101" s="13" t="s">
        <v>601</v>
      </c>
      <c r="I101" s="12">
        <v>395</v>
      </c>
      <c r="J101" s="12" t="s">
        <v>107</v>
      </c>
    </row>
    <row r="102" spans="1:10" x14ac:dyDescent="0.2">
      <c r="A102" s="5">
        <v>99</v>
      </c>
      <c r="B102" s="37" t="str">
        <f>HYPERLINK("C:\Users\JPHoppe\Documents\Publicações\Artigos\Periódicos\S\Southwestern Naturalist\Vol 10\Issue 4\Rogers 1965.pdf","Rogers 1965")</f>
        <v>Rogers 1965</v>
      </c>
      <c r="C102" s="12">
        <v>1965</v>
      </c>
      <c r="D102" s="21" t="s">
        <v>1091</v>
      </c>
      <c r="E102" s="18" t="s">
        <v>602</v>
      </c>
      <c r="F102" s="12">
        <v>311</v>
      </c>
      <c r="G102" s="12">
        <v>311</v>
      </c>
      <c r="H102" s="13" t="s">
        <v>468</v>
      </c>
      <c r="I102" s="12">
        <v>10</v>
      </c>
      <c r="J102" s="12">
        <v>4</v>
      </c>
    </row>
    <row r="103" spans="1:10" x14ac:dyDescent="0.2">
      <c r="A103" s="19">
        <v>100</v>
      </c>
      <c r="B103" s="39" t="str">
        <f>HYPERLINK("C:\Users\JPHoppe\Documents\Publicações\Artigos\Periódicos\C\Chiroptera Neotropical\Vol 21\Issue 1\Romano et al 2015.pdf","Romano et al 2015")</f>
        <v>Romano et al 2015</v>
      </c>
      <c r="C103" s="16">
        <v>2015</v>
      </c>
      <c r="D103" s="18" t="s">
        <v>1092</v>
      </c>
      <c r="E103" s="18" t="s">
        <v>604</v>
      </c>
      <c r="F103" s="16">
        <v>1312</v>
      </c>
      <c r="G103" s="16">
        <v>1319</v>
      </c>
      <c r="H103" s="14" t="s">
        <v>268</v>
      </c>
      <c r="I103" s="16">
        <v>21</v>
      </c>
      <c r="J103" s="16">
        <v>1</v>
      </c>
    </row>
    <row r="104" spans="1:10" x14ac:dyDescent="0.2">
      <c r="A104" s="5">
        <v>101</v>
      </c>
      <c r="B104" s="37" t="str">
        <f>HYPERLINK("C:\Users\JPHoppe\Documents\Publicações\Artigos\Periódicos\C\Chiroptera Neotropical\Vol 14\Issue 2\Roncancio &amp; Ramírez-Chaves 2008.pdf","Roncancio &amp; Ramírez-Chaves 2008")</f>
        <v>Roncancio &amp; Ramírez-Chaves 2008</v>
      </c>
      <c r="C104" s="12">
        <v>2008</v>
      </c>
      <c r="D104" s="21" t="s">
        <v>1093</v>
      </c>
      <c r="E104" s="18" t="s">
        <v>606</v>
      </c>
      <c r="F104" s="12">
        <v>412</v>
      </c>
      <c r="G104" s="12">
        <v>414</v>
      </c>
      <c r="H104" s="13" t="s">
        <v>268</v>
      </c>
      <c r="I104" s="12">
        <v>14</v>
      </c>
      <c r="J104" s="12">
        <v>2</v>
      </c>
    </row>
    <row r="105" spans="1:10" x14ac:dyDescent="0.2">
      <c r="A105" s="19">
        <v>120</v>
      </c>
      <c r="B105" s="38" t="str">
        <f>HYPERLINK("C:\Users\JPHoppe\Documents\Publicações\Artigos\Periódicos\B\Biotemas\Vol 30\Issue 3\Rosa et al 2017.pdf","Rosa et al 2017")</f>
        <v>Rosa et al 2017</v>
      </c>
      <c r="C105" s="19">
        <v>2017</v>
      </c>
      <c r="D105" s="20" t="s">
        <v>1094</v>
      </c>
      <c r="E105" s="20" t="s">
        <v>756</v>
      </c>
      <c r="F105" s="19">
        <v>71</v>
      </c>
      <c r="G105" s="19">
        <v>77</v>
      </c>
      <c r="H105" s="20" t="s">
        <v>757</v>
      </c>
      <c r="I105" s="19">
        <v>30</v>
      </c>
      <c r="J105" s="19">
        <v>3</v>
      </c>
    </row>
    <row r="106" spans="1:10" x14ac:dyDescent="0.2">
      <c r="A106" s="19">
        <v>135</v>
      </c>
      <c r="B106" s="39" t="str">
        <f>HYPERLINK("C:\Users\JPHoppe\Documents\Publicações\Artigos\Periódicos\M\Mammalia\Vol 81\Issue 6\Rose et al 2017.pdf","Rose et al 2017")</f>
        <v>Rose et al 2017</v>
      </c>
      <c r="C106" s="19">
        <v>2017</v>
      </c>
      <c r="D106" s="20" t="s">
        <v>1095</v>
      </c>
      <c r="E106" s="20" t="s">
        <v>828</v>
      </c>
      <c r="F106" s="19">
        <v>615</v>
      </c>
      <c r="G106" s="19">
        <v>619</v>
      </c>
      <c r="H106" s="20" t="s">
        <v>209</v>
      </c>
      <c r="I106" s="19">
        <v>81</v>
      </c>
      <c r="J106" s="19">
        <v>6</v>
      </c>
    </row>
    <row r="107" spans="1:10" x14ac:dyDescent="0.2">
      <c r="A107" s="5">
        <v>131</v>
      </c>
      <c r="B107" s="36" t="str">
        <f>HYPERLINK("C:\Users\JPHoppe\Documents\Publicações\Artigos\Periódicos\T\Therya\Vol 7\Issue 2\Ruelas et al 2016.pdf","Ruelas et al 2016")</f>
        <v>Ruelas et al 2016</v>
      </c>
      <c r="C107" s="5">
        <v>2016</v>
      </c>
      <c r="D107" s="20" t="s">
        <v>1096</v>
      </c>
      <c r="E107" s="20" t="s">
        <v>810</v>
      </c>
      <c r="F107" s="5">
        <v>343</v>
      </c>
      <c r="G107" s="5">
        <v>352</v>
      </c>
      <c r="H107" t="s">
        <v>811</v>
      </c>
      <c r="I107" s="5">
        <v>7</v>
      </c>
      <c r="J107" s="5">
        <v>2</v>
      </c>
    </row>
    <row r="108" spans="1:10" x14ac:dyDescent="0.2">
      <c r="A108" s="19">
        <v>122</v>
      </c>
      <c r="B108" s="36" t="str">
        <f>HYPERLINK("C:\Users\JPHoppe\Documents\Publicações\Artigos\Periódicos\A\Acta Theriologica\Vol 10\Ruprecht 1965.pdf","Ruprecht 1965")</f>
        <v>Ruprecht 1965</v>
      </c>
      <c r="C108" s="5">
        <v>1965</v>
      </c>
      <c r="D108" s="20" t="s">
        <v>1097</v>
      </c>
      <c r="E108" s="20" t="s">
        <v>763</v>
      </c>
      <c r="F108" s="5">
        <v>239</v>
      </c>
      <c r="G108" s="5">
        <v>240</v>
      </c>
      <c r="H108" t="s">
        <v>762</v>
      </c>
      <c r="I108" s="5">
        <v>10</v>
      </c>
      <c r="J108" s="5">
        <v>17</v>
      </c>
    </row>
    <row r="109" spans="1:10" x14ac:dyDescent="0.2">
      <c r="A109" s="19">
        <v>22</v>
      </c>
      <c r="B109" s="43" t="s">
        <v>963</v>
      </c>
      <c r="C109" s="16">
        <v>1989</v>
      </c>
      <c r="D109" s="18" t="s">
        <v>1098</v>
      </c>
      <c r="E109" s="14" t="s">
        <v>262</v>
      </c>
      <c r="F109" s="16">
        <v>54</v>
      </c>
      <c r="G109" s="16">
        <v>55</v>
      </c>
      <c r="H109" s="14" t="s">
        <v>153</v>
      </c>
      <c r="I109" s="16">
        <v>30</v>
      </c>
      <c r="J109" s="16" t="s">
        <v>107</v>
      </c>
    </row>
    <row r="110" spans="1:10" x14ac:dyDescent="0.2">
      <c r="A110" s="19">
        <v>24</v>
      </c>
      <c r="B110" s="39" t="str">
        <f>HYPERLINK("C:\Users\JPHoppe\Documents\Publicações\Artigos\Periódicos\C\Chiroptera Neotropical\Vol 16\Issue 1\Sánchez-Hernández et al 2010.pdf","Sánchez-Hernández et al 2010")</f>
        <v>Sánchez-Hernández et al 2010</v>
      </c>
      <c r="C110" s="16">
        <v>2010</v>
      </c>
      <c r="D110" s="18" t="s">
        <v>1099</v>
      </c>
      <c r="E110" s="14" t="s">
        <v>269</v>
      </c>
      <c r="F110" s="16">
        <v>541</v>
      </c>
      <c r="G110" s="16">
        <v>545</v>
      </c>
      <c r="H110" s="14" t="s">
        <v>268</v>
      </c>
      <c r="I110" s="16">
        <v>16</v>
      </c>
      <c r="J110" s="16">
        <v>1</v>
      </c>
    </row>
    <row r="111" spans="1:10" x14ac:dyDescent="0.2">
      <c r="A111" s="19">
        <v>23</v>
      </c>
      <c r="B111" s="39" t="str">
        <f>HYPERLINK("C:\Users\JPHoppe\Documents\Publicações\Artigos\Periódicos\C\Chiroptera Neotropical\Vol 18\Issue 2\Sánchez-Hernández et al 2012.pdf","Sánchez-Hernández et al 2012")</f>
        <v>Sánchez-Hernández et al 2012</v>
      </c>
      <c r="C111" s="16">
        <v>2012</v>
      </c>
      <c r="D111" s="18" t="s">
        <v>1100</v>
      </c>
      <c r="E111" s="14" t="s">
        <v>267</v>
      </c>
      <c r="F111" s="16">
        <v>1123</v>
      </c>
      <c r="G111" s="16">
        <v>1127</v>
      </c>
      <c r="H111" s="14" t="s">
        <v>268</v>
      </c>
      <c r="I111" s="16">
        <v>18</v>
      </c>
      <c r="J111" s="16">
        <v>2</v>
      </c>
    </row>
    <row r="112" spans="1:10" x14ac:dyDescent="0.2">
      <c r="A112" s="5">
        <v>40</v>
      </c>
      <c r="B112" s="37" t="str">
        <f>HYPERLINK("C:\Users\JPHoppe\Documents\Publicações\Artigos\Periódicos\R\Revue Suisse de Zoologie\Vol 32\Issue 2\Schneider 1925b.pdf","Schneider 1925")</f>
        <v>Schneider 1925</v>
      </c>
      <c r="C112" s="12">
        <v>1925</v>
      </c>
      <c r="D112" s="21" t="s">
        <v>1101</v>
      </c>
      <c r="E112" s="18" t="s">
        <v>357</v>
      </c>
      <c r="F112" s="12">
        <v>85</v>
      </c>
      <c r="G112" s="12">
        <v>85</v>
      </c>
      <c r="H112" s="13" t="s">
        <v>356</v>
      </c>
      <c r="I112" s="12">
        <v>32</v>
      </c>
      <c r="J112" s="12">
        <v>2</v>
      </c>
    </row>
    <row r="113" spans="1:10" x14ac:dyDescent="0.2">
      <c r="A113" s="5">
        <v>102</v>
      </c>
      <c r="B113" s="37" t="str">
        <f>HYPERLINK("C:\Users\JPHoppe\Documents\Publicações\Artigos\Periódicos\J\Journal of Mammalogy\Vol 41\Issue 4\Sealander 1960.pdf","Sealander 1960")</f>
        <v>Sealander 1960</v>
      </c>
      <c r="C113" s="12">
        <v>1960</v>
      </c>
      <c r="D113" s="21" t="s">
        <v>1102</v>
      </c>
      <c r="E113" s="14" t="s">
        <v>618</v>
      </c>
      <c r="F113" s="12">
        <v>525</v>
      </c>
      <c r="G113" s="12">
        <v>526</v>
      </c>
      <c r="H113" s="13" t="s">
        <v>343</v>
      </c>
      <c r="I113" s="12">
        <v>41</v>
      </c>
      <c r="J113" s="12">
        <v>4</v>
      </c>
    </row>
    <row r="114" spans="1:10" x14ac:dyDescent="0.2">
      <c r="A114" s="5">
        <v>39</v>
      </c>
      <c r="B114" s="37" t="str">
        <f>HYPERLINK("C:\Users\JPHoppe\Documents\Publicações\Artigos\Periódicos\J\Journal of Mammalogy\Vol 31\Issue 3\Setzer 1950.pdf","Setzer 1950")</f>
        <v>Setzer 1950</v>
      </c>
      <c r="C114" s="12">
        <v>1950</v>
      </c>
      <c r="D114" s="21" t="s">
        <v>1103</v>
      </c>
      <c r="E114" s="14" t="s">
        <v>351</v>
      </c>
      <c r="F114" s="12">
        <v>350</v>
      </c>
      <c r="G114" s="12">
        <v>350</v>
      </c>
      <c r="H114" s="13" t="s">
        <v>343</v>
      </c>
      <c r="I114" s="12">
        <v>31</v>
      </c>
      <c r="J114" s="12">
        <v>3</v>
      </c>
    </row>
    <row r="115" spans="1:10" x14ac:dyDescent="0.2">
      <c r="A115" s="19">
        <v>67</v>
      </c>
      <c r="B115" s="39" t="str">
        <f>HYPERLINK("C:\Users\JPHoppe\Documents\Publicações\Artigos\Periódicos\I\Izvestija Penzenskogo Gosudarstvennogo Pedagogicheskogo Universiteta imeni Belinskogo (Yestestvennyye nauki)\Vol 29\Smirnov et al 2012.pdf","Smirnov et al 2012")</f>
        <v>Smirnov et al 2012</v>
      </c>
      <c r="C115" s="16">
        <v>2012</v>
      </c>
      <c r="D115" s="18" t="s">
        <v>1104</v>
      </c>
      <c r="E115" s="18" t="s">
        <v>473</v>
      </c>
      <c r="F115" s="16">
        <v>265</v>
      </c>
      <c r="G115" s="16">
        <v>267</v>
      </c>
      <c r="H115" s="17" t="s">
        <v>472</v>
      </c>
      <c r="I115" s="16">
        <v>29</v>
      </c>
      <c r="J115" s="16" t="s">
        <v>107</v>
      </c>
    </row>
    <row r="116" spans="1:10" x14ac:dyDescent="0.2">
      <c r="A116" s="19">
        <v>129</v>
      </c>
      <c r="B116" s="38" t="str">
        <f>HYPERLINK("C:\Users\JPHoppe\Documents\Publicações\Artigos\Periódicos\O\Open Journal of Animal Sciences\Vol 4\Smirnov et al 2014.pdf","Smirnov et al 2014")</f>
        <v>Smirnov et al 2014</v>
      </c>
      <c r="C116" s="19">
        <v>2014</v>
      </c>
      <c r="D116" s="20" t="s">
        <v>1105</v>
      </c>
      <c r="E116" s="20" t="s">
        <v>802</v>
      </c>
      <c r="F116" s="19">
        <v>291</v>
      </c>
      <c r="G116" s="19">
        <v>296</v>
      </c>
      <c r="H116" s="20" t="s">
        <v>803</v>
      </c>
      <c r="I116" s="19">
        <v>4</v>
      </c>
      <c r="J116" s="19" t="s">
        <v>107</v>
      </c>
    </row>
    <row r="117" spans="1:10" x14ac:dyDescent="0.2">
      <c r="A117" s="5">
        <v>103</v>
      </c>
      <c r="B117" s="37" t="str">
        <f>HYPERLINK("C:\Users\JPHoppe\Documents\Publicações\Artigos\Periódicos\C\Canadian Field Naturalist\Vol 96\Issue 2\Smith 1982.pdf","Smith 1982")</f>
        <v>Smith 1982</v>
      </c>
      <c r="C117" s="12">
        <v>1982</v>
      </c>
      <c r="D117" s="21" t="s">
        <v>1106</v>
      </c>
      <c r="E117" s="18" t="s">
        <v>634</v>
      </c>
      <c r="F117" s="12">
        <v>217</v>
      </c>
      <c r="G117" s="12">
        <v>217</v>
      </c>
      <c r="H117" s="13" t="s">
        <v>633</v>
      </c>
      <c r="I117" s="12">
        <v>92</v>
      </c>
      <c r="J117" s="12">
        <v>2</v>
      </c>
    </row>
    <row r="118" spans="1:10" x14ac:dyDescent="0.2">
      <c r="A118" s="5">
        <v>104</v>
      </c>
      <c r="B118" s="37" t="str">
        <f>HYPERLINK("C:\Users\JPHoppe\Documents\Publicações\Artigos\Periódicos\C\Chiroptera Neotropical\Vol 10\Issue 1-2\Sodré et al 2004.pdf","Sodré et al 2004")</f>
        <v>Sodré et al 2004</v>
      </c>
      <c r="C118" s="12">
        <v>2004</v>
      </c>
      <c r="D118" s="21" t="s">
        <v>1107</v>
      </c>
      <c r="E118" s="18" t="s">
        <v>639</v>
      </c>
      <c r="F118" s="12">
        <v>200</v>
      </c>
      <c r="G118" s="12">
        <v>201</v>
      </c>
      <c r="H118" s="13" t="s">
        <v>268</v>
      </c>
      <c r="I118" s="12">
        <v>10</v>
      </c>
      <c r="J118" s="26" t="s">
        <v>403</v>
      </c>
    </row>
    <row r="119" spans="1:10" x14ac:dyDescent="0.2">
      <c r="A119" s="5">
        <v>42</v>
      </c>
      <c r="B119" s="37" t="str">
        <f>HYPERLINK("C:\Users\JPHoppe\Documents\Publicações\Artigos\Periódicos\B\Biollania\Vol 9\Soriano et al 1993.pdf","Soriano et al 1993")</f>
        <v>Soriano et al 1993</v>
      </c>
      <c r="C119" s="12">
        <v>1993</v>
      </c>
      <c r="D119" s="21" t="s">
        <v>1108</v>
      </c>
      <c r="E119" s="14" t="s">
        <v>368</v>
      </c>
      <c r="F119" s="12">
        <v>149</v>
      </c>
      <c r="G119" s="12">
        <v>150</v>
      </c>
      <c r="H119" s="13" t="s">
        <v>369</v>
      </c>
      <c r="I119" s="12">
        <v>9</v>
      </c>
      <c r="J119" s="12" t="s">
        <v>107</v>
      </c>
    </row>
    <row r="120" spans="1:10" x14ac:dyDescent="0.2">
      <c r="A120" s="5">
        <v>105</v>
      </c>
      <c r="B120" s="37" t="str">
        <f>HYPERLINK("C:\Users\JPHoppe\Documents\Publicações\Artigos\Periódicos\C\Chiroptera Neotropical\Vol 19\Issue 2\Souza et al 2013.pdf","Souza et al 2013")</f>
        <v>Souza et al 2013</v>
      </c>
      <c r="C120" s="12">
        <v>2013</v>
      </c>
      <c r="D120" s="21" t="s">
        <v>1109</v>
      </c>
      <c r="E120" s="18" t="s">
        <v>645</v>
      </c>
      <c r="F120" s="12">
        <v>1216</v>
      </c>
      <c r="G120" s="12">
        <v>1219</v>
      </c>
      <c r="H120" s="13" t="s">
        <v>268</v>
      </c>
      <c r="I120" s="12">
        <v>19</v>
      </c>
      <c r="J120" s="12">
        <v>2</v>
      </c>
    </row>
    <row r="121" spans="1:10" x14ac:dyDescent="0.2">
      <c r="A121" s="19">
        <v>21</v>
      </c>
      <c r="B121" s="39" t="str">
        <f>HYPERLINK("C:\Users\JPHoppe\Documents\Publicações\Artigos\Periódicos\N\Northern Territory Naturalist\Vol 1\Issue 3\Swanson 1980.pdf","Swanson 1980")</f>
        <v>Swanson 1980</v>
      </c>
      <c r="C121" s="16">
        <v>1980</v>
      </c>
      <c r="D121" s="18" t="s">
        <v>1110</v>
      </c>
      <c r="E121" s="18" t="s">
        <v>252</v>
      </c>
      <c r="F121" s="16">
        <v>6</v>
      </c>
      <c r="G121" s="16">
        <v>6</v>
      </c>
      <c r="H121" s="14" t="s">
        <v>251</v>
      </c>
      <c r="I121" s="16">
        <v>1</v>
      </c>
      <c r="J121" s="16">
        <v>3</v>
      </c>
    </row>
    <row r="122" spans="1:10" x14ac:dyDescent="0.2">
      <c r="A122" s="5">
        <v>53</v>
      </c>
      <c r="B122" s="37" t="str">
        <f>HYPERLINK("C:\Users\JPHoppe\Documents\Publicações\Artigos\Periódicos\N\Northwestern Naturalist\Vol 89\Issue 3\Talerico et al 2008.pdf","Talerico et al 2008")</f>
        <v>Talerico et al 2008</v>
      </c>
      <c r="C122" s="12">
        <v>2008</v>
      </c>
      <c r="D122" s="21" t="s">
        <v>1111</v>
      </c>
      <c r="E122" s="18" t="s">
        <v>416</v>
      </c>
      <c r="F122" s="12">
        <v>198</v>
      </c>
      <c r="G122" s="12">
        <v>200</v>
      </c>
      <c r="H122" s="13" t="s">
        <v>415</v>
      </c>
      <c r="I122" s="12">
        <v>89</v>
      </c>
      <c r="J122" s="12">
        <v>3</v>
      </c>
    </row>
    <row r="123" spans="1:10" x14ac:dyDescent="0.2">
      <c r="A123" s="19">
        <v>30</v>
      </c>
      <c r="B123" s="39" t="str">
        <f>HYPERLINK("C:\Users\JPHoppe\Documents\Publicações\Artigos\Periódicos\M\Mammalia\Vol 78\Issue 2\Tello et al 2014.pdf","Tello et al 2014")</f>
        <v>Tello et al 2014</v>
      </c>
      <c r="C123" s="16">
        <v>2014</v>
      </c>
      <c r="D123" s="18" t="s">
        <v>1112</v>
      </c>
      <c r="E123" s="14" t="s">
        <v>310</v>
      </c>
      <c r="F123" s="16">
        <v>191</v>
      </c>
      <c r="G123" s="16">
        <v>197</v>
      </c>
      <c r="H123" s="14" t="s">
        <v>209</v>
      </c>
      <c r="I123" s="16">
        <v>78</v>
      </c>
      <c r="J123" s="16">
        <v>2</v>
      </c>
    </row>
    <row r="124" spans="1:10" x14ac:dyDescent="0.2">
      <c r="A124" s="5">
        <v>106</v>
      </c>
      <c r="B124" s="37" t="str">
        <f>HYPERLINK("C:\Users\JPHoppe\Documents\Publicações\Artigos\Periódicos\J\Journal of Mammalogy\Vol 23\Issue 3\Trapido &amp; Crowe 1942.pdf","Trapido &amp; Crowe 1942")</f>
        <v>Trapido &amp; Crowe 1942</v>
      </c>
      <c r="C124" s="12">
        <v>1942</v>
      </c>
      <c r="D124" s="21" t="s">
        <v>1113</v>
      </c>
      <c r="E124" s="14" t="s">
        <v>657</v>
      </c>
      <c r="F124" s="12">
        <v>303</v>
      </c>
      <c r="G124" s="12">
        <v>305</v>
      </c>
      <c r="H124" s="13" t="s">
        <v>343</v>
      </c>
      <c r="I124" s="12">
        <v>23</v>
      </c>
      <c r="J124" s="12">
        <v>3</v>
      </c>
    </row>
    <row r="125" spans="1:10" x14ac:dyDescent="0.2">
      <c r="A125" s="5">
        <v>33</v>
      </c>
      <c r="B125" s="37" t="str">
        <f>HYPERLINK("C:\Users\JPHoppe\Documents\Publicações\Artigos\Periódicos\C\Chiroptera Neotropical\Vol 19\Issue 1\Treitler et al 2013.pdf","Treitler et al 2013")</f>
        <v>Treitler et al 2013</v>
      </c>
      <c r="C125" s="12">
        <v>2013</v>
      </c>
      <c r="D125" s="21" t="s">
        <v>1114</v>
      </c>
      <c r="E125" s="18" t="s">
        <v>320</v>
      </c>
      <c r="F125" s="12">
        <v>1179</v>
      </c>
      <c r="G125" s="12">
        <v>1181</v>
      </c>
      <c r="H125" s="13" t="s">
        <v>268</v>
      </c>
      <c r="I125" s="12">
        <v>19</v>
      </c>
      <c r="J125" s="12">
        <v>1</v>
      </c>
    </row>
    <row r="126" spans="1:10" x14ac:dyDescent="0.2">
      <c r="A126" s="19">
        <v>107</v>
      </c>
      <c r="B126" s="39" t="str">
        <f>HYPERLINK("C:\Users\JPHoppe\Documents\Publicações\Artigos\Periódicos\C\Chiroptera Neotropical\Vol 20\Issue 1\Trujillo &amp; Barahona 2014.pdf","Trujillo &amp; Barahona 2014")</f>
        <v>Trujillo &amp; Barahona 2014</v>
      </c>
      <c r="C126" s="16">
        <v>2014</v>
      </c>
      <c r="D126" s="18" t="s">
        <v>1115</v>
      </c>
      <c r="E126" s="18" t="s">
        <v>662</v>
      </c>
      <c r="F126" s="16">
        <v>1252</v>
      </c>
      <c r="G126" s="16">
        <v>1254</v>
      </c>
      <c r="H126" s="14" t="s">
        <v>268</v>
      </c>
      <c r="I126" s="16">
        <v>20</v>
      </c>
      <c r="J126" s="16">
        <v>1</v>
      </c>
    </row>
    <row r="127" spans="1:10" x14ac:dyDescent="0.2">
      <c r="A127" s="5">
        <v>108</v>
      </c>
      <c r="B127" s="43" t="s">
        <v>666</v>
      </c>
      <c r="C127" s="12">
        <v>1961</v>
      </c>
      <c r="D127" s="21" t="s">
        <v>1116</v>
      </c>
      <c r="E127" s="14" t="s">
        <v>667</v>
      </c>
      <c r="F127" s="12">
        <v>16</v>
      </c>
      <c r="G127" s="12">
        <v>16</v>
      </c>
      <c r="H127" s="13" t="s">
        <v>668</v>
      </c>
      <c r="I127" s="12">
        <v>2</v>
      </c>
      <c r="J127" s="12">
        <v>2</v>
      </c>
    </row>
    <row r="128" spans="1:10" x14ac:dyDescent="0.2">
      <c r="A128" s="19">
        <v>1</v>
      </c>
      <c r="B128" s="38" t="str">
        <f>HYPERLINK("C:\Users\JPHoppe\Documents\Publicações\Artigos\Periódicos\A\Acta Chiropterologica\Vol 2\Issue 1\Uieda 2000.pdf","Uieda 2000")</f>
        <v>Uieda 2000</v>
      </c>
      <c r="C128" s="19">
        <v>2000</v>
      </c>
      <c r="D128" s="20" t="s">
        <v>1117</v>
      </c>
      <c r="E128" s="20" t="s">
        <v>148</v>
      </c>
      <c r="F128" s="19">
        <v>97</v>
      </c>
      <c r="G128" s="19">
        <v>105</v>
      </c>
      <c r="H128" s="20" t="s">
        <v>149</v>
      </c>
      <c r="I128" s="19">
        <v>2</v>
      </c>
      <c r="J128" s="19">
        <v>1</v>
      </c>
    </row>
    <row r="129" spans="1:10" x14ac:dyDescent="0.2">
      <c r="A129" s="19">
        <v>28</v>
      </c>
      <c r="B129" s="39" t="str">
        <f>HYPERLINK("C:\Users\JPHoppe\Documents\Publicações\Artigos\Periódicos\Z\Zoologia\[1972-2008] Revista Brasileira de Zoologia (Vol 1 - 25)\Vol 18\Issue 2\Uieda 2001.pdf","Uieda 2001")</f>
        <v>Uieda 2001</v>
      </c>
      <c r="C129" s="16">
        <v>2001</v>
      </c>
      <c r="D129" s="18" t="s">
        <v>1117</v>
      </c>
      <c r="E129" s="18" t="s">
        <v>299</v>
      </c>
      <c r="F129" s="16">
        <v>641</v>
      </c>
      <c r="G129" s="16">
        <v>644</v>
      </c>
      <c r="H129" s="14" t="s">
        <v>296</v>
      </c>
      <c r="I129" s="16">
        <v>18</v>
      </c>
      <c r="J129" s="16">
        <v>2</v>
      </c>
    </row>
    <row r="130" spans="1:10" x14ac:dyDescent="0.2">
      <c r="A130" s="5">
        <v>55</v>
      </c>
      <c r="B130" s="43" t="s">
        <v>422</v>
      </c>
      <c r="C130" s="12">
        <v>1994</v>
      </c>
      <c r="D130" s="21" t="s">
        <v>1118</v>
      </c>
      <c r="E130" s="18" t="s">
        <v>423</v>
      </c>
      <c r="F130" s="12">
        <v>110</v>
      </c>
      <c r="G130" s="12">
        <v>112</v>
      </c>
      <c r="H130" s="13" t="s">
        <v>410</v>
      </c>
      <c r="I130" s="12">
        <v>37</v>
      </c>
      <c r="J130" s="12" t="s">
        <v>107</v>
      </c>
    </row>
    <row r="131" spans="1:10" x14ac:dyDescent="0.2">
      <c r="A131" s="19">
        <v>110</v>
      </c>
      <c r="B131" s="41" t="s">
        <v>674</v>
      </c>
      <c r="C131" s="16">
        <v>1995</v>
      </c>
      <c r="D131" s="18" t="s">
        <v>1119</v>
      </c>
      <c r="E131" s="18" t="s">
        <v>676</v>
      </c>
      <c r="F131" s="16">
        <v>878</v>
      </c>
      <c r="G131" s="16">
        <v>881</v>
      </c>
      <c r="H131" s="14" t="s">
        <v>675</v>
      </c>
      <c r="I131" s="16">
        <v>38</v>
      </c>
      <c r="J131" s="16" t="s">
        <v>107</v>
      </c>
    </row>
    <row r="132" spans="1:10" x14ac:dyDescent="0.2">
      <c r="A132" s="5">
        <v>38</v>
      </c>
      <c r="B132" s="37" t="str">
        <f>HYPERLINK("C:\Users\JPHoppe\Documents\Publicações\Artigos\Periódicos\B\Boletín Científico. Centro de Museos. Museo de Historia Natural\Vol 17\Issue 2\Velandia-Perilla et al 2013.pdf","Velandia-Perilla et al 2013")</f>
        <v>Velandia-Perilla et al 2013</v>
      </c>
      <c r="C132" s="12">
        <v>2013</v>
      </c>
      <c r="D132" s="21" t="s">
        <v>1120</v>
      </c>
      <c r="E132" s="14" t="s">
        <v>347</v>
      </c>
      <c r="F132" s="12">
        <v>87</v>
      </c>
      <c r="G132" s="12">
        <v>94</v>
      </c>
      <c r="H132" s="13" t="s">
        <v>348</v>
      </c>
      <c r="I132" s="12">
        <v>17</v>
      </c>
      <c r="J132" s="12">
        <v>2</v>
      </c>
    </row>
    <row r="133" spans="1:10" x14ac:dyDescent="0.2">
      <c r="A133" s="19">
        <v>11</v>
      </c>
      <c r="B133" s="38" t="str">
        <f>HYPERLINK("C:\Users\JPHoppe\Documents\Publicações\Artigos\Periódicos\B\Bulletin de l'Institut Royal des Sciences Naturelles de Belgique\Vol 31\Verschuren 1955.pdf","Verschuren 1955")</f>
        <v>Verschuren 1955</v>
      </c>
      <c r="C133" s="19">
        <v>1955</v>
      </c>
      <c r="D133" s="18" t="s">
        <v>1121</v>
      </c>
      <c r="E133" s="20" t="s">
        <v>202</v>
      </c>
      <c r="F133" s="19">
        <v>1</v>
      </c>
      <c r="G133" s="19">
        <v>4</v>
      </c>
      <c r="H133" s="20" t="s">
        <v>203</v>
      </c>
      <c r="I133" s="19">
        <v>31</v>
      </c>
      <c r="J133" s="19">
        <v>34</v>
      </c>
    </row>
    <row r="134" spans="1:10" x14ac:dyDescent="0.2">
      <c r="A134" s="5">
        <v>109</v>
      </c>
      <c r="B134" s="37" t="str">
        <f>HYPERLINK("C:\Users\JPHoppe\Documents\Publicações\Artigos\Periódicos\T\Transactions of the Illinois State Academy of Science\Vol 64\Issue 2\Walley 1971.pdf","Walley 1971")</f>
        <v>Walley 1971</v>
      </c>
      <c r="C134" s="12">
        <v>1971</v>
      </c>
      <c r="D134" s="21" t="s">
        <v>1122</v>
      </c>
      <c r="E134" s="18" t="s">
        <v>670</v>
      </c>
      <c r="F134" s="12">
        <v>196</v>
      </c>
      <c r="G134" s="12">
        <v>197</v>
      </c>
      <c r="H134" s="13" t="s">
        <v>669</v>
      </c>
      <c r="I134" s="12">
        <v>64</v>
      </c>
      <c r="J134" s="12">
        <v>2</v>
      </c>
    </row>
    <row r="135" spans="1:10" x14ac:dyDescent="0.2">
      <c r="A135" s="19">
        <v>112</v>
      </c>
      <c r="B135" s="39" t="str">
        <f>HYPERLINK("C:\Users\JPHoppe\Documents\Publicações\Artigos\Periódicos\C\Canadian Field Naturalist\Vol 88\Issue 1\Walley 1974.pdf","Walley 1974")</f>
        <v>Walley 1974</v>
      </c>
      <c r="C135" s="16">
        <v>1974</v>
      </c>
      <c r="D135" s="21" t="s">
        <v>1122</v>
      </c>
      <c r="E135" s="18" t="s">
        <v>688</v>
      </c>
      <c r="F135" s="16">
        <v>80</v>
      </c>
      <c r="G135" s="16">
        <v>81</v>
      </c>
      <c r="H135" s="14" t="s">
        <v>633</v>
      </c>
      <c r="I135" s="16">
        <v>88</v>
      </c>
      <c r="J135" s="16">
        <v>1</v>
      </c>
    </row>
    <row r="136" spans="1:10" x14ac:dyDescent="0.2">
      <c r="A136" s="19">
        <v>132</v>
      </c>
      <c r="B136" s="38" t="str">
        <f>HYPERLINK("C:\Users\JPHoppe\Documents\Publicações\Artigos\Periódicos\R\Revista Mexicana de Biodiversidad\Vol 87\Zalapa et al 2016.pdf","Zalapa et al 2016")</f>
        <v>Zalapa et al 2016</v>
      </c>
      <c r="C136" s="19">
        <v>2016</v>
      </c>
      <c r="D136" s="20" t="s">
        <v>1123</v>
      </c>
      <c r="E136" s="20" t="s">
        <v>813</v>
      </c>
      <c r="F136" s="19">
        <v>474</v>
      </c>
      <c r="G136" s="19">
        <v>482</v>
      </c>
      <c r="H136" s="20" t="s">
        <v>814</v>
      </c>
      <c r="I136" s="19">
        <v>87</v>
      </c>
      <c r="J136" s="19" t="s">
        <v>107</v>
      </c>
    </row>
    <row r="137" spans="1:10" x14ac:dyDescent="0.2">
      <c r="A137" s="19">
        <v>128</v>
      </c>
      <c r="B137" s="36" t="str">
        <f>HYPERLINK("C:\Users\JPHoppe\Documents\Publicações\Artigos\Periódicos\N\Natura Sloveniae\Vol 15\Issue 1\Zamolo et al 2013.pdf","Zamolo et al 2013")</f>
        <v>Zamolo et al 2013</v>
      </c>
      <c r="C137" s="5">
        <v>2013</v>
      </c>
      <c r="D137" s="20" t="s">
        <v>1124</v>
      </c>
      <c r="E137" s="20" t="s">
        <v>797</v>
      </c>
      <c r="F137" s="5">
        <v>47</v>
      </c>
      <c r="G137" s="5">
        <v>49</v>
      </c>
      <c r="H137" t="s">
        <v>798</v>
      </c>
      <c r="I137" s="5">
        <v>15</v>
      </c>
      <c r="J137" s="5">
        <v>1</v>
      </c>
    </row>
    <row r="138" spans="1:10" x14ac:dyDescent="0.2">
      <c r="A138" s="5">
        <v>111</v>
      </c>
      <c r="B138" s="37" t="str">
        <f>HYPERLINK("C:\Users\JPHoppe\Documents\Publicações\Artigos\Periódicos\F\Folia Zoologica\Vol 43\Issue 3\Zukal et al 1994.pdf","Zukal et al 1994")</f>
        <v>Zukal et al 1994</v>
      </c>
      <c r="C138" s="12">
        <v>1994</v>
      </c>
      <c r="D138" s="21" t="s">
        <v>1125</v>
      </c>
      <c r="E138" s="18" t="s">
        <v>687</v>
      </c>
      <c r="F138" s="12">
        <v>281</v>
      </c>
      <c r="G138" s="12">
        <v>283</v>
      </c>
      <c r="H138" s="13" t="s">
        <v>686</v>
      </c>
      <c r="I138" s="12">
        <v>43</v>
      </c>
      <c r="J138" s="12">
        <v>3</v>
      </c>
    </row>
    <row r="139" spans="1:10" x14ac:dyDescent="0.2">
      <c r="A139" s="5">
        <v>138</v>
      </c>
      <c r="B139" s="40" t="s">
        <v>889</v>
      </c>
      <c r="C139" s="5">
        <v>1968</v>
      </c>
      <c r="D139" t="s">
        <v>890</v>
      </c>
      <c r="E139" s="20" t="s">
        <v>891</v>
      </c>
      <c r="F139" s="5">
        <v>370</v>
      </c>
      <c r="G139" s="5">
        <v>376</v>
      </c>
      <c r="H139" t="s">
        <v>892</v>
      </c>
      <c r="I139" s="5">
        <v>23</v>
      </c>
      <c r="J139" s="5" t="s">
        <v>107</v>
      </c>
    </row>
    <row r="140" spans="1:10" x14ac:dyDescent="0.2">
      <c r="A140" s="5">
        <v>139</v>
      </c>
      <c r="B140" s="40" t="s">
        <v>895</v>
      </c>
      <c r="C140" s="5">
        <v>1990</v>
      </c>
      <c r="D140" t="s">
        <v>896</v>
      </c>
      <c r="E140" s="20" t="s">
        <v>897</v>
      </c>
      <c r="F140" s="5">
        <v>17</v>
      </c>
      <c r="G140" s="5">
        <v>21</v>
      </c>
      <c r="H140" t="s">
        <v>898</v>
      </c>
      <c r="I140" s="5">
        <v>36</v>
      </c>
      <c r="J140" s="5" t="s">
        <v>107</v>
      </c>
    </row>
    <row r="141" spans="1:10" x14ac:dyDescent="0.2">
      <c r="A141" s="5">
        <v>140</v>
      </c>
      <c r="B141" s="37" t="str">
        <f>HYPERLINK("C:\Users\JPHoppe\Documents\Publicações\Artigos\Periódicos\M\Mammalia\Vol 21\Issue 3\Dorst 1957b.pdf","Dorst 1957b")</f>
        <v>Dorst 1957b</v>
      </c>
      <c r="C141" s="12">
        <v>1957</v>
      </c>
      <c r="D141" s="21" t="s">
        <v>1022</v>
      </c>
      <c r="E141" s="18" t="s">
        <v>901</v>
      </c>
      <c r="F141" s="12">
        <v>306</v>
      </c>
      <c r="G141" s="12">
        <v>306</v>
      </c>
      <c r="H141" s="13" t="s">
        <v>209</v>
      </c>
      <c r="I141" s="12">
        <v>21</v>
      </c>
      <c r="J141" s="12">
        <v>3</v>
      </c>
    </row>
    <row r="142" spans="1:10" x14ac:dyDescent="0.2">
      <c r="A142" s="5">
        <v>141</v>
      </c>
      <c r="B142" s="40" t="s">
        <v>905</v>
      </c>
      <c r="C142" s="5">
        <v>1971</v>
      </c>
      <c r="D142" t="s">
        <v>917</v>
      </c>
      <c r="E142" s="20" t="s">
        <v>918</v>
      </c>
      <c r="F142" s="5">
        <v>72</v>
      </c>
      <c r="G142" s="5">
        <v>73</v>
      </c>
      <c r="H142" t="s">
        <v>94</v>
      </c>
      <c r="I142" s="5">
        <v>3</v>
      </c>
      <c r="J142" s="5" t="s">
        <v>107</v>
      </c>
    </row>
    <row r="143" spans="1:10" x14ac:dyDescent="0.2">
      <c r="A143" s="5">
        <v>142</v>
      </c>
      <c r="B143" s="40" t="s">
        <v>909</v>
      </c>
      <c r="C143" s="5">
        <v>1990</v>
      </c>
      <c r="D143" t="s">
        <v>919</v>
      </c>
      <c r="E143" s="20" t="s">
        <v>920</v>
      </c>
      <c r="F143" s="5">
        <v>8</v>
      </c>
      <c r="G143" s="5">
        <v>8</v>
      </c>
      <c r="H143" t="s">
        <v>153</v>
      </c>
      <c r="I143" s="5">
        <v>31</v>
      </c>
      <c r="J143" s="5" t="s">
        <v>107</v>
      </c>
    </row>
    <row r="144" spans="1:10" x14ac:dyDescent="0.2">
      <c r="A144" s="5">
        <v>143</v>
      </c>
      <c r="B144" s="40" t="s">
        <v>911</v>
      </c>
      <c r="C144" s="5">
        <v>1977</v>
      </c>
      <c r="D144" s="21" t="s">
        <v>921</v>
      </c>
      <c r="E144" s="20" t="s">
        <v>922</v>
      </c>
      <c r="F144" s="5">
        <v>113</v>
      </c>
      <c r="G144" s="5">
        <v>114</v>
      </c>
      <c r="H144" t="s">
        <v>923</v>
      </c>
      <c r="I144" s="5">
        <v>25</v>
      </c>
      <c r="J144" s="5" t="s">
        <v>107</v>
      </c>
    </row>
    <row r="145" spans="1:10" x14ac:dyDescent="0.2">
      <c r="A145" s="5">
        <v>144</v>
      </c>
      <c r="B145" s="40" t="s">
        <v>912</v>
      </c>
      <c r="C145" s="5">
        <v>1991</v>
      </c>
      <c r="D145" t="s">
        <v>924</v>
      </c>
      <c r="E145" s="20" t="s">
        <v>925</v>
      </c>
      <c r="F145" s="5">
        <v>97</v>
      </c>
      <c r="G145" s="5">
        <v>98</v>
      </c>
      <c r="H145" t="s">
        <v>94</v>
      </c>
      <c r="I145" s="5">
        <v>4</v>
      </c>
      <c r="J145" s="5" t="s">
        <v>107</v>
      </c>
    </row>
    <row r="146" spans="1:10" x14ac:dyDescent="0.2">
      <c r="A146" s="5">
        <v>145</v>
      </c>
      <c r="B146" s="36" t="str">
        <f>HYPERLINK("C:\Users\JPHoppe\Documents\Publicações\Artigos\Periódicos\V\Victorian Naturalist\Issue 12\Smith 1968.pdf","Smith 1968")</f>
        <v>Smith 1968</v>
      </c>
      <c r="C146" s="5">
        <v>1968</v>
      </c>
      <c r="D146" t="s">
        <v>926</v>
      </c>
      <c r="E146" s="20" t="s">
        <v>927</v>
      </c>
      <c r="F146" s="5">
        <v>358</v>
      </c>
      <c r="G146" s="5">
        <v>359</v>
      </c>
      <c r="H146" t="s">
        <v>928</v>
      </c>
      <c r="I146" s="5">
        <v>85</v>
      </c>
      <c r="J146" s="5">
        <v>12</v>
      </c>
    </row>
    <row r="147" spans="1:10" x14ac:dyDescent="0.2">
      <c r="A147" s="5">
        <v>146</v>
      </c>
      <c r="B147" s="40" t="s">
        <v>915</v>
      </c>
      <c r="C147" s="5">
        <v>1982</v>
      </c>
      <c r="D147" t="s">
        <v>929</v>
      </c>
      <c r="E147" s="20" t="s">
        <v>930</v>
      </c>
      <c r="F147" s="5">
        <v>18</v>
      </c>
      <c r="G147" s="5">
        <v>19</v>
      </c>
      <c r="H147" t="s">
        <v>931</v>
      </c>
      <c r="I147" s="5">
        <v>6</v>
      </c>
      <c r="J147" s="5" t="s">
        <v>107</v>
      </c>
    </row>
    <row r="148" spans="1:10" x14ac:dyDescent="0.2">
      <c r="A148" s="5">
        <v>147</v>
      </c>
      <c r="B148" s="36" t="str">
        <f>HYPERLINK("C:\Users\JPHoppe\Documents\Publicações\Artigos\Periódicos\R\Revista Brasileira de Biociências\Vol 15\Issue 2\Biassi et al 2017.pdf","Biassi et al 2017")</f>
        <v>Biassi et al 2017</v>
      </c>
      <c r="C148" s="5">
        <v>2017</v>
      </c>
      <c r="D148" t="s">
        <v>936</v>
      </c>
      <c r="E148" s="20" t="s">
        <v>937</v>
      </c>
      <c r="F148" s="5">
        <v>96</v>
      </c>
      <c r="G148" s="5">
        <v>98</v>
      </c>
      <c r="H148" t="s">
        <v>938</v>
      </c>
      <c r="I148" s="5">
        <v>15</v>
      </c>
      <c r="J148" s="5">
        <v>2</v>
      </c>
    </row>
    <row r="149" spans="1:10" x14ac:dyDescent="0.2">
      <c r="A149" s="5">
        <v>148</v>
      </c>
      <c r="B149" s="36" t="str">
        <f>HYPERLINK("C:\Users\JPHoppe\Documents\Publicações\Artigos\Periódicos\B\Boletim do Museu Paraense Emilio Goeldi\Ciências Naturais\Vol 13\Issue 2\Nascimento et al 2018.pdf","Nascimento et al 2018")</f>
        <v>Nascimento et al 2018</v>
      </c>
      <c r="C149" s="5">
        <v>2018</v>
      </c>
      <c r="D149" t="s">
        <v>941</v>
      </c>
      <c r="E149" s="20" t="s">
        <v>942</v>
      </c>
      <c r="F149" s="5">
        <v>273</v>
      </c>
      <c r="G149" s="5">
        <v>277</v>
      </c>
      <c r="H149" t="s">
        <v>943</v>
      </c>
      <c r="I149" s="5">
        <v>13</v>
      </c>
      <c r="J149" s="5">
        <v>2</v>
      </c>
    </row>
    <row r="150" spans="1:10" x14ac:dyDescent="0.2">
      <c r="A150" s="5">
        <v>149</v>
      </c>
      <c r="B150" s="36" t="str">
        <f>HYPERLINK("C:\Users\JPHoppe\Documents\Publicações\Artigos\Periódicos\M\Mammalia\Vol 82\Issue 1\Zortéa &amp; Silva 2018.pdf","Zortéa &amp; Silva 2018")</f>
        <v>Zortéa &amp; Silva 2018</v>
      </c>
      <c r="C150" s="5">
        <v>2018</v>
      </c>
      <c r="D150" t="s">
        <v>948</v>
      </c>
      <c r="E150" s="20" t="s">
        <v>949</v>
      </c>
      <c r="F150" s="5">
        <v>78</v>
      </c>
      <c r="G150" s="5">
        <v>84</v>
      </c>
      <c r="H150" t="s">
        <v>209</v>
      </c>
      <c r="I150" s="5">
        <v>82</v>
      </c>
      <c r="J150" s="5">
        <v>1</v>
      </c>
    </row>
    <row r="151" spans="1:10" x14ac:dyDescent="0.2">
      <c r="A151" s="5">
        <v>150</v>
      </c>
      <c r="B151" s="36" t="str">
        <f>HYPERLINK("C:\Users\JPHoppe\Documents\Publicações\Artigos\Periódicos\M\Mammal Review\Vol 47\Issue 2\Lucati &amp; López-Baucells 2017.pdf","Lucati &amp; López-Baucells 2017")</f>
        <v>Lucati &amp; López-Baucells 2017</v>
      </c>
      <c r="C151" s="5">
        <v>2017</v>
      </c>
      <c r="D151" t="s">
        <v>953</v>
      </c>
      <c r="E151" s="20" t="s">
        <v>954</v>
      </c>
      <c r="F151" s="5">
        <v>112</v>
      </c>
      <c r="G151" s="5">
        <v>123</v>
      </c>
      <c r="H151" t="s">
        <v>955</v>
      </c>
      <c r="I151" s="5">
        <v>47</v>
      </c>
      <c r="J151" s="5" t="s">
        <v>107</v>
      </c>
    </row>
    <row r="152" spans="1:10" x14ac:dyDescent="0.2">
      <c r="A152" s="5">
        <v>151</v>
      </c>
      <c r="B152" s="36" t="str">
        <f>HYPERLINK("C:\Users\JPHoppe\Documents\Publicações\Artigos\Periódicos\J\Journal of Mammalogy\Vol 29\Issue 2\Blair 1948.pdf","Blair 1948")</f>
        <v>Blair 1948</v>
      </c>
      <c r="C152" s="5">
        <v>1948</v>
      </c>
      <c r="D152" t="s">
        <v>1126</v>
      </c>
      <c r="E152" s="20" t="s">
        <v>1127</v>
      </c>
      <c r="F152" s="5">
        <v>178</v>
      </c>
      <c r="G152" s="5">
        <v>179</v>
      </c>
      <c r="H152" t="s">
        <v>343</v>
      </c>
      <c r="I152" s="5">
        <v>29</v>
      </c>
      <c r="J152" s="5">
        <v>2</v>
      </c>
    </row>
    <row r="153" spans="1:10" x14ac:dyDescent="0.2">
      <c r="A153" s="5">
        <v>152</v>
      </c>
      <c r="B153" s="36" t="str">
        <f>HYPERLINK("C:\Users\JPHoppe\Documents\Publicações\Artigos\Periódicos\A\Atti della Società dei naturalisti e matematici di Modena\Series 3\Vol 1\Carruccio 1883.pdf","Carruccio 1883")</f>
        <v>Carruccio 1883</v>
      </c>
      <c r="C153" s="5">
        <v>1883</v>
      </c>
      <c r="D153" t="s">
        <v>1129</v>
      </c>
      <c r="E153" s="20" t="s">
        <v>1130</v>
      </c>
      <c r="F153" s="5">
        <v>1</v>
      </c>
      <c r="G153" s="5">
        <v>112</v>
      </c>
      <c r="H153" t="s">
        <v>1131</v>
      </c>
      <c r="I153" s="5">
        <v>1</v>
      </c>
      <c r="J153" s="5" t="s">
        <v>107</v>
      </c>
    </row>
    <row r="154" spans="1:10" x14ac:dyDescent="0.2">
      <c r="A154" s="5">
        <v>153</v>
      </c>
      <c r="B154" s="36" t="str">
        <f>HYPERLINK("C:\Users\JPHoppe\Documents\Publicações\Artigos\Periódicos\H\Hystrix\Vol 24\Issue 2\Dekeukeleire et al 2013.pdf","Dekeukeleire et al 2013")</f>
        <v>Dekeukeleire et al 2013</v>
      </c>
      <c r="C154" s="5">
        <v>2013</v>
      </c>
      <c r="D154" t="s">
        <v>1135</v>
      </c>
      <c r="E154" s="20" t="s">
        <v>1136</v>
      </c>
      <c r="F154" s="5">
        <v>197</v>
      </c>
      <c r="G154" s="5">
        <v>198</v>
      </c>
      <c r="H154" t="s">
        <v>196</v>
      </c>
      <c r="I154" s="5">
        <v>24</v>
      </c>
      <c r="J154" s="5">
        <v>2</v>
      </c>
    </row>
    <row r="155" spans="1:10" x14ac:dyDescent="0.2">
      <c r="A155" s="5">
        <v>154</v>
      </c>
      <c r="B155" s="36" t="str">
        <f>HYPERLINK("C:\Users\JPHoppe\Documents\Publicações\Artigos\Periódicos\A\Acta Theriologica Sinica\Vol 31\Issue 3\Hong et al 2011.pdf","Hong et al 2011")</f>
        <v>Hong et al 2011</v>
      </c>
      <c r="C155" s="5">
        <v>2011</v>
      </c>
      <c r="D155" t="s">
        <v>1140</v>
      </c>
      <c r="E155" s="20" t="s">
        <v>1141</v>
      </c>
      <c r="F155" s="5">
        <v>320</v>
      </c>
      <c r="G155" s="5">
        <v>322</v>
      </c>
      <c r="H155" t="s">
        <v>1142</v>
      </c>
      <c r="I155" s="5">
        <v>31</v>
      </c>
      <c r="J155" s="5">
        <v>3</v>
      </c>
    </row>
    <row r="156" spans="1:10" x14ac:dyDescent="0.2">
      <c r="A156" s="5">
        <v>155</v>
      </c>
      <c r="B156" s="36" t="str">
        <f>HYPERLINK("C:\Users\JPHoppe\Documents\Publicações\Artigos\Periódicos\A\Atti Della Società Italiana di Scienze Naturali\Vol 28\Monticelli 1886.pdf","Monticelli 1886")</f>
        <v>Monticelli 1886</v>
      </c>
      <c r="C156" s="5">
        <v>1886</v>
      </c>
      <c r="D156" t="s">
        <v>1148</v>
      </c>
      <c r="E156" s="20" t="s">
        <v>1147</v>
      </c>
      <c r="F156" s="5">
        <v>169</v>
      </c>
      <c r="G156" s="5">
        <v>213</v>
      </c>
      <c r="H156" t="s">
        <v>1146</v>
      </c>
      <c r="I156" s="5">
        <v>28</v>
      </c>
      <c r="J156" s="5" t="s">
        <v>107</v>
      </c>
    </row>
    <row r="157" spans="1:10" x14ac:dyDescent="0.2">
      <c r="A157" s="5">
        <v>156</v>
      </c>
      <c r="B157" s="36" t="str">
        <f>HYPERLINK("C:\Users\JPHoppe\Documents\Publicações\Artigos\Periódicos\J\Journal of Mammalogy\Vol 17\Issue 1\Osgood 1936.pdf","Osgood 1936")</f>
        <v>Osgood 1936</v>
      </c>
      <c r="C157" s="5">
        <v>1936</v>
      </c>
      <c r="D157" t="s">
        <v>1080</v>
      </c>
      <c r="E157" s="20" t="s">
        <v>1151</v>
      </c>
      <c r="F157" s="5">
        <v>64</v>
      </c>
      <c r="G157" s="5">
        <v>64</v>
      </c>
      <c r="H157" t="s">
        <v>343</v>
      </c>
      <c r="I157" s="5">
        <v>17</v>
      </c>
      <c r="J157" s="5">
        <v>1</v>
      </c>
    </row>
    <row r="158" spans="1:10" x14ac:dyDescent="0.2">
      <c r="A158" s="5">
        <v>157</v>
      </c>
      <c r="B158" s="36" t="str">
        <f>HYPERLINK("C:\Users\JPHoppe\Documents\Publicações\Artigos\Periódicos\J\Journal of Zoology\Proceedings of the Zoological Society of London\Vol 144\Issue 1\Stebbings 1965.pdf","Stebbings 1965")</f>
        <v>Stebbings 1965</v>
      </c>
      <c r="C158" s="5">
        <v>1965</v>
      </c>
      <c r="D158" t="s">
        <v>1152</v>
      </c>
      <c r="E158" s="20" t="s">
        <v>1153</v>
      </c>
      <c r="F158" s="5">
        <v>137</v>
      </c>
      <c r="G158" s="5">
        <v>143</v>
      </c>
      <c r="H158" t="s">
        <v>588</v>
      </c>
      <c r="I158" s="5">
        <v>144</v>
      </c>
      <c r="J158" s="5">
        <v>1</v>
      </c>
    </row>
    <row r="159" spans="1:10" x14ac:dyDescent="0.2">
      <c r="A159" s="5">
        <v>158</v>
      </c>
      <c r="B159" s="36" t="str">
        <f>HYPERLINK("C:\Users\JPHoppe\Documents\Publicações\Artigos\Periódicos\T\Transactions of the Kansas Academy of Science\Vol 72\Issue 3\Watkins 1969.pdf","Watkins 1969")</f>
        <v>Watkins 1969</v>
      </c>
      <c r="C159" s="5">
        <v>1969</v>
      </c>
      <c r="D159" t="s">
        <v>1157</v>
      </c>
      <c r="E159" s="20" t="s">
        <v>1158</v>
      </c>
      <c r="F159" s="5">
        <v>330</v>
      </c>
      <c r="G159" s="5">
        <v>336</v>
      </c>
      <c r="H159" t="s">
        <v>1159</v>
      </c>
      <c r="I159" s="5">
        <v>72</v>
      </c>
      <c r="J159" s="5">
        <v>3</v>
      </c>
    </row>
    <row r="160" spans="1:10" x14ac:dyDescent="0.2">
      <c r="A160" s="5">
        <v>159</v>
      </c>
      <c r="B160" s="36" t="str">
        <f>HYPERLINK("C:\Users\JPHoppe\Documents\Publicações\Artigos\Periódicos\B\Biota Neotropica\Vol 19\Issue 3\Reis et al 2019.pdf","Reis et al 2019")</f>
        <v>Reis et al 2019</v>
      </c>
      <c r="C160" s="5">
        <v>2019</v>
      </c>
      <c r="D160" t="s">
        <v>1160</v>
      </c>
      <c r="E160" s="20" t="s">
        <v>1161</v>
      </c>
      <c r="F160" s="5" t="s">
        <v>1162</v>
      </c>
      <c r="G160" s="5" t="s">
        <v>107</v>
      </c>
      <c r="H160" s="5" t="s">
        <v>1163</v>
      </c>
      <c r="I160" s="5">
        <v>19</v>
      </c>
      <c r="J160" s="5">
        <v>3</v>
      </c>
    </row>
  </sheetData>
  <autoFilter ref="A1:J156"/>
  <sortState ref="A2:J159">
    <sortCondition ref="B2:B138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1.25" x14ac:dyDescent="0.2"/>
  <cols>
    <col min="1" max="1" width="5.83203125" style="5" customWidth="1"/>
    <col min="2" max="2" width="11.1640625" style="11" bestFit="1" customWidth="1"/>
    <col min="3" max="3" width="12.83203125" bestFit="1" customWidth="1"/>
    <col min="4" max="4" width="12.6640625" bestFit="1" customWidth="1"/>
    <col min="5" max="5" width="37.5" customWidth="1"/>
    <col min="6" max="13" width="5.83203125" style="5" customWidth="1"/>
    <col min="14" max="14" width="33.33203125" style="11" bestFit="1" customWidth="1"/>
    <col min="15" max="15" width="9.33203125" style="5"/>
    <col min="16" max="16" width="9.33203125" style="11" customWidth="1"/>
    <col min="17" max="17" width="9.33203125" customWidth="1"/>
    <col min="18" max="19" width="12" customWidth="1"/>
    <col min="20" max="21" width="11.5" customWidth="1"/>
  </cols>
  <sheetData>
    <row r="1" spans="1:21" x14ac:dyDescent="0.2">
      <c r="A1" s="3" t="s">
        <v>856</v>
      </c>
      <c r="B1" s="35" t="s">
        <v>857</v>
      </c>
      <c r="C1" s="35"/>
      <c r="D1" s="35"/>
      <c r="E1" s="35"/>
      <c r="F1" s="35" t="s">
        <v>17</v>
      </c>
      <c r="G1" s="35"/>
      <c r="H1" s="35"/>
      <c r="I1" s="35"/>
      <c r="J1" s="35" t="s">
        <v>18</v>
      </c>
      <c r="K1" s="35"/>
      <c r="L1" s="35"/>
      <c r="M1" s="35"/>
      <c r="N1" s="31" t="s">
        <v>858</v>
      </c>
      <c r="O1" s="32"/>
      <c r="P1" s="35" t="s">
        <v>859</v>
      </c>
      <c r="Q1" s="35"/>
      <c r="R1" s="35" t="s">
        <v>860</v>
      </c>
      <c r="S1" s="35"/>
      <c r="T1" s="35" t="s">
        <v>861</v>
      </c>
      <c r="U1" s="35"/>
    </row>
    <row r="2" spans="1:21" s="20" customFormat="1" ht="30" customHeight="1" x14ac:dyDescent="0.2">
      <c r="A2" s="1" t="s">
        <v>0</v>
      </c>
      <c r="B2" s="1" t="s">
        <v>864</v>
      </c>
      <c r="C2" s="1" t="s">
        <v>14</v>
      </c>
      <c r="D2" s="1" t="s">
        <v>862</v>
      </c>
      <c r="E2" s="1" t="s">
        <v>16</v>
      </c>
      <c r="F2" s="1" t="s">
        <v>129</v>
      </c>
      <c r="G2" s="1" t="s">
        <v>130</v>
      </c>
      <c r="H2" s="1" t="s">
        <v>131</v>
      </c>
      <c r="I2" s="1" t="s">
        <v>863</v>
      </c>
      <c r="J2" s="1" t="s">
        <v>129</v>
      </c>
      <c r="K2" s="1" t="s">
        <v>130</v>
      </c>
      <c r="L2" s="1" t="s">
        <v>131</v>
      </c>
      <c r="M2" s="1" t="s">
        <v>863</v>
      </c>
      <c r="N2" s="33" t="s">
        <v>19</v>
      </c>
      <c r="O2" s="1" t="s">
        <v>21</v>
      </c>
      <c r="P2" s="1" t="s">
        <v>17</v>
      </c>
      <c r="Q2" s="1" t="s">
        <v>18</v>
      </c>
      <c r="R2" s="1" t="s">
        <v>17</v>
      </c>
      <c r="S2" s="1" t="s">
        <v>18</v>
      </c>
      <c r="T2" s="1" t="s">
        <v>17</v>
      </c>
      <c r="U2" s="1" t="s">
        <v>18</v>
      </c>
    </row>
    <row r="3" spans="1:21" x14ac:dyDescent="0.2">
      <c r="A3" s="5">
        <v>227</v>
      </c>
      <c r="B3" s="11" t="s">
        <v>838</v>
      </c>
      <c r="C3" s="9" t="s">
        <v>420</v>
      </c>
      <c r="D3" s="9" t="s">
        <v>107</v>
      </c>
      <c r="E3" s="9" t="s">
        <v>107</v>
      </c>
      <c r="F3" s="5" t="s">
        <v>107</v>
      </c>
      <c r="G3" s="5" t="s">
        <v>107</v>
      </c>
      <c r="H3" s="5" t="s">
        <v>107</v>
      </c>
      <c r="I3" s="5" t="s">
        <v>107</v>
      </c>
      <c r="J3" s="5" t="s">
        <v>107</v>
      </c>
      <c r="K3" s="5" t="s">
        <v>107</v>
      </c>
      <c r="L3" s="5" t="s">
        <v>107</v>
      </c>
      <c r="M3" s="5" t="s">
        <v>107</v>
      </c>
      <c r="N3" s="43" t="s">
        <v>107</v>
      </c>
      <c r="O3" t="s">
        <v>107</v>
      </c>
      <c r="P3" s="7" t="str">
        <f t="shared" ref="P3:P66" si="0">IF(F3="-","-",IF(I3="N",((F3)+(G3/60)+(H3/3600)),((F3)+(G3/60)+(H3/3600))*(-1)))</f>
        <v>-</v>
      </c>
      <c r="Q3" s="7" t="str">
        <f t="shared" ref="Q3:Q66" si="1">IF(F3="-","-",IF(M3="E",((J3)+(K3/60)+(L3/3600)),((J3)+(K3/60)+(L3/3600))*(-1)))</f>
        <v>-</v>
      </c>
      <c r="R3" s="7" t="str">
        <f>IF(P3="-","-",TEXT(F3,"00")&amp;"º"&amp;TEXT(G3,"00")&amp;"′"&amp;TEXT(H3,"00")&amp;"″ "&amp;I3)</f>
        <v>-</v>
      </c>
      <c r="S3" s="5" t="str">
        <f>IF(P3="-","-",TEXT(J3,"000")&amp;"º"&amp;TEXT(K3,"00")&amp;"′"&amp;TEXT(L3,"00")&amp;"″ "&amp;M3)</f>
        <v>-</v>
      </c>
      <c r="T3" s="5" t="str">
        <f>IF(P3="-","-",TEXT(F3,"00")&amp;"º"&amp;TEXT(G3,"00")&amp;"."&amp;TEXT(H3*100/60,"00")&amp;"′"&amp;I3)</f>
        <v>-</v>
      </c>
      <c r="U3" s="5" t="str">
        <f>IF(P3="-","-",TEXT(J3,"000")&amp;"º"&amp;TEXT(K3,"00")&amp;"."&amp;TEXT(L3*100/60,"00")&amp;"′"&amp;M3)</f>
        <v>-</v>
      </c>
    </row>
    <row r="4" spans="1:21" x14ac:dyDescent="0.2">
      <c r="A4" s="5">
        <v>140</v>
      </c>
      <c r="B4" s="11" t="s">
        <v>838</v>
      </c>
      <c r="C4" s="9" t="s">
        <v>420</v>
      </c>
      <c r="D4" s="9" t="s">
        <v>637</v>
      </c>
      <c r="E4" s="9" t="s">
        <v>638</v>
      </c>
      <c r="F4" s="5">
        <v>53</v>
      </c>
      <c r="G4" s="5">
        <v>33</v>
      </c>
      <c r="H4" s="5">
        <v>38</v>
      </c>
      <c r="I4" s="5" t="s">
        <v>132</v>
      </c>
      <c r="J4" s="5">
        <v>114</v>
      </c>
      <c r="K4" s="5">
        <v>44</v>
      </c>
      <c r="L4" s="5">
        <v>12</v>
      </c>
      <c r="M4" s="5" t="s">
        <v>138</v>
      </c>
      <c r="N4" s="45" t="s">
        <v>163</v>
      </c>
      <c r="O4" t="s">
        <v>107</v>
      </c>
      <c r="P4" s="7">
        <f t="shared" si="0"/>
        <v>53.560555555555553</v>
      </c>
      <c r="Q4" s="7">
        <f t="shared" si="1"/>
        <v>-114.73666666666666</v>
      </c>
      <c r="R4" s="7" t="str">
        <f t="shared" ref="R4:R67" si="2">IF(P4="-","-",TEXT(F4,"00")&amp;"º"&amp;TEXT(G4,"00")&amp;"′"&amp;TEXT(H4,"00")&amp;"″ "&amp;I4)</f>
        <v>53º33′38″ N</v>
      </c>
      <c r="S4" s="5" t="str">
        <f t="shared" ref="S4:S67" si="3">IF(P4="-","-",TEXT(J4,"000")&amp;"º"&amp;TEXT(K4,"00")&amp;"′"&amp;TEXT(L4,"00")&amp;"″ "&amp;M4)</f>
        <v>114º44′12″ W</v>
      </c>
      <c r="T4" s="5" t="str">
        <f t="shared" ref="T4:T67" si="4">IF(P4="-","-",TEXT(F4,"00")&amp;"º"&amp;TEXT(G4,"00")&amp;"."&amp;TEXT(H4*100/60,"00")&amp;"′"&amp;I4)</f>
        <v>53º33.63′N</v>
      </c>
      <c r="U4" s="5" t="str">
        <f t="shared" ref="U4:U67" si="5">IF(P4="-","-",TEXT(J4,"000")&amp;"º"&amp;TEXT(K4,"00")&amp;"."&amp;TEXT(L4*100/60,"00")&amp;"′"&amp;M4)</f>
        <v>114º44.20′W</v>
      </c>
    </row>
    <row r="5" spans="1:21" x14ac:dyDescent="0.2">
      <c r="A5" s="5">
        <v>206</v>
      </c>
      <c r="B5" s="11" t="s">
        <v>838</v>
      </c>
      <c r="C5" s="9" t="s">
        <v>420</v>
      </c>
      <c r="D5" s="9" t="s">
        <v>826</v>
      </c>
      <c r="E5" s="9" t="s">
        <v>827</v>
      </c>
      <c r="F5" s="5">
        <v>45</v>
      </c>
      <c r="G5" s="5">
        <v>18</v>
      </c>
      <c r="H5" s="5">
        <v>2</v>
      </c>
      <c r="I5" s="5" t="s">
        <v>132</v>
      </c>
      <c r="J5" s="5">
        <v>77</v>
      </c>
      <c r="K5" s="5">
        <v>36</v>
      </c>
      <c r="L5" s="5">
        <v>45</v>
      </c>
      <c r="M5" s="5" t="s">
        <v>138</v>
      </c>
      <c r="N5" s="45" t="s">
        <v>163</v>
      </c>
      <c r="O5" t="s">
        <v>107</v>
      </c>
      <c r="P5" s="7">
        <f t="shared" si="0"/>
        <v>45.300555555555555</v>
      </c>
      <c r="Q5" s="7">
        <f t="shared" si="1"/>
        <v>-77.612499999999997</v>
      </c>
      <c r="R5" s="7" t="str">
        <f t="shared" si="2"/>
        <v>45º18′02″ N</v>
      </c>
      <c r="S5" s="5" t="str">
        <f t="shared" si="3"/>
        <v>077º36′45″ W</v>
      </c>
      <c r="T5" s="5" t="str">
        <f t="shared" si="4"/>
        <v>45º18.03′N</v>
      </c>
      <c r="U5" s="5" t="str">
        <f t="shared" si="5"/>
        <v>077º36.75′W</v>
      </c>
    </row>
    <row r="6" spans="1:21" x14ac:dyDescent="0.2">
      <c r="A6" s="5">
        <v>63</v>
      </c>
      <c r="B6" s="11" t="s">
        <v>838</v>
      </c>
      <c r="C6" s="9" t="s">
        <v>420</v>
      </c>
      <c r="D6" s="9" t="s">
        <v>421</v>
      </c>
      <c r="E6" s="9" t="s">
        <v>107</v>
      </c>
      <c r="F6" s="5" t="s">
        <v>107</v>
      </c>
      <c r="G6" s="5" t="s">
        <v>107</v>
      </c>
      <c r="H6" s="5" t="s">
        <v>107</v>
      </c>
      <c r="I6" s="5" t="s">
        <v>107</v>
      </c>
      <c r="J6" s="5" t="s">
        <v>107</v>
      </c>
      <c r="K6" s="5" t="s">
        <v>107</v>
      </c>
      <c r="L6" s="5" t="s">
        <v>107</v>
      </c>
      <c r="M6" s="5" t="s">
        <v>107</v>
      </c>
      <c r="N6" s="45" t="s">
        <v>107</v>
      </c>
      <c r="O6" t="s">
        <v>107</v>
      </c>
      <c r="P6" s="7" t="str">
        <f t="shared" si="0"/>
        <v>-</v>
      </c>
      <c r="Q6" s="7" t="str">
        <f t="shared" si="1"/>
        <v>-</v>
      </c>
      <c r="R6" s="7" t="str">
        <f t="shared" si="2"/>
        <v>-</v>
      </c>
      <c r="S6" s="5" t="str">
        <f t="shared" si="3"/>
        <v>-</v>
      </c>
      <c r="T6" s="5" t="str">
        <f t="shared" si="4"/>
        <v>-</v>
      </c>
      <c r="U6" s="5" t="str">
        <f t="shared" si="5"/>
        <v>-</v>
      </c>
    </row>
    <row r="7" spans="1:21" x14ac:dyDescent="0.2">
      <c r="A7" s="5">
        <v>145</v>
      </c>
      <c r="B7" s="11" t="s">
        <v>838</v>
      </c>
      <c r="C7" s="9" t="s">
        <v>420</v>
      </c>
      <c r="D7" s="9" t="s">
        <v>649</v>
      </c>
      <c r="E7" s="9" t="s">
        <v>650</v>
      </c>
      <c r="F7" s="12">
        <v>60</v>
      </c>
      <c r="G7" s="12">
        <v>6</v>
      </c>
      <c r="H7" s="12">
        <v>0</v>
      </c>
      <c r="I7" s="12" t="s">
        <v>132</v>
      </c>
      <c r="J7" s="12">
        <v>128</v>
      </c>
      <c r="K7" s="12">
        <v>42</v>
      </c>
      <c r="L7" s="12">
        <v>0</v>
      </c>
      <c r="M7" s="12" t="s">
        <v>138</v>
      </c>
      <c r="N7" s="37" t="s">
        <v>1222</v>
      </c>
      <c r="O7" t="s">
        <v>107</v>
      </c>
      <c r="P7" s="7">
        <f t="shared" si="0"/>
        <v>60.1</v>
      </c>
      <c r="Q7" s="7">
        <f t="shared" si="1"/>
        <v>-128.69999999999999</v>
      </c>
      <c r="R7" s="7" t="str">
        <f t="shared" si="2"/>
        <v>60º06′00″ N</v>
      </c>
      <c r="S7" s="5" t="str">
        <f t="shared" si="3"/>
        <v>128º42′00″ W</v>
      </c>
      <c r="T7" s="5" t="str">
        <f t="shared" si="4"/>
        <v>60º06.00′N</v>
      </c>
      <c r="U7" s="5" t="str">
        <f t="shared" si="5"/>
        <v>128º42.00′W</v>
      </c>
    </row>
    <row r="8" spans="1:21" x14ac:dyDescent="0.2">
      <c r="A8" s="5">
        <v>255</v>
      </c>
      <c r="B8" s="11" t="s">
        <v>838</v>
      </c>
      <c r="C8" s="9" t="s">
        <v>433</v>
      </c>
      <c r="D8" s="9" t="s">
        <v>107</v>
      </c>
      <c r="E8" s="9" t="s">
        <v>107</v>
      </c>
      <c r="F8" s="5" t="s">
        <v>107</v>
      </c>
      <c r="G8" s="5" t="s">
        <v>107</v>
      </c>
      <c r="H8" s="5" t="s">
        <v>107</v>
      </c>
      <c r="I8" s="5" t="s">
        <v>107</v>
      </c>
      <c r="J8" s="5" t="s">
        <v>107</v>
      </c>
      <c r="K8" s="5" t="s">
        <v>107</v>
      </c>
      <c r="L8" s="5" t="s">
        <v>107</v>
      </c>
      <c r="M8" s="5" t="s">
        <v>107</v>
      </c>
      <c r="N8" s="43" t="s">
        <v>107</v>
      </c>
      <c r="O8" t="s">
        <v>107</v>
      </c>
      <c r="P8" s="7" t="str">
        <f t="shared" si="0"/>
        <v>-</v>
      </c>
      <c r="Q8" s="7" t="str">
        <f t="shared" si="1"/>
        <v>-</v>
      </c>
      <c r="R8" s="7" t="str">
        <f t="shared" si="2"/>
        <v>-</v>
      </c>
      <c r="S8" s="5" t="str">
        <f t="shared" si="3"/>
        <v>-</v>
      </c>
      <c r="T8" s="5" t="str">
        <f t="shared" si="4"/>
        <v>-</v>
      </c>
      <c r="U8" s="5" t="str">
        <f t="shared" si="5"/>
        <v>-</v>
      </c>
    </row>
    <row r="9" spans="1:21" x14ac:dyDescent="0.2">
      <c r="A9" s="5">
        <v>110</v>
      </c>
      <c r="B9" s="11" t="s">
        <v>838</v>
      </c>
      <c r="C9" s="9" t="s">
        <v>433</v>
      </c>
      <c r="D9" s="9" t="s">
        <v>558</v>
      </c>
      <c r="E9" s="9" t="s">
        <v>559</v>
      </c>
      <c r="F9" s="5">
        <v>31</v>
      </c>
      <c r="G9" s="5">
        <v>36</v>
      </c>
      <c r="H9" s="5">
        <v>20</v>
      </c>
      <c r="I9" s="5" t="s">
        <v>132</v>
      </c>
      <c r="J9" s="5">
        <v>111</v>
      </c>
      <c r="K9" s="5">
        <v>19</v>
      </c>
      <c r="L9" s="5">
        <v>32</v>
      </c>
      <c r="M9" s="5" t="s">
        <v>138</v>
      </c>
      <c r="N9" s="43" t="s">
        <v>163</v>
      </c>
      <c r="O9" t="s">
        <v>107</v>
      </c>
      <c r="P9" s="7">
        <f t="shared" si="0"/>
        <v>31.605555555555558</v>
      </c>
      <c r="Q9" s="7">
        <f t="shared" si="1"/>
        <v>-111.32555555555555</v>
      </c>
      <c r="R9" s="7" t="str">
        <f t="shared" si="2"/>
        <v>31º36′20″ N</v>
      </c>
      <c r="S9" s="5" t="str">
        <f t="shared" si="3"/>
        <v>111º19′32″ W</v>
      </c>
      <c r="T9" s="5" t="str">
        <f t="shared" si="4"/>
        <v>31º36.33′N</v>
      </c>
      <c r="U9" s="5" t="str">
        <f t="shared" si="5"/>
        <v>111º19.53′W</v>
      </c>
    </row>
    <row r="10" spans="1:21" x14ac:dyDescent="0.2">
      <c r="A10" s="5">
        <v>134</v>
      </c>
      <c r="B10" s="11" t="s">
        <v>838</v>
      </c>
      <c r="C10" s="9" t="s">
        <v>433</v>
      </c>
      <c r="D10" s="9" t="s">
        <v>619</v>
      </c>
      <c r="E10" s="9" t="s">
        <v>620</v>
      </c>
      <c r="F10" s="5">
        <v>35</v>
      </c>
      <c r="G10" s="5">
        <v>59</v>
      </c>
      <c r="H10" s="5">
        <v>13</v>
      </c>
      <c r="I10" s="5" t="s">
        <v>132</v>
      </c>
      <c r="J10" s="5">
        <v>93</v>
      </c>
      <c r="K10" s="5">
        <v>24</v>
      </c>
      <c r="L10" s="5">
        <v>33</v>
      </c>
      <c r="M10" s="5" t="s">
        <v>138</v>
      </c>
      <c r="N10" s="45" t="s">
        <v>163</v>
      </c>
      <c r="O10" t="s">
        <v>107</v>
      </c>
      <c r="P10" s="7">
        <f t="shared" si="0"/>
        <v>35.986944444444447</v>
      </c>
      <c r="Q10" s="7">
        <f t="shared" si="1"/>
        <v>-93.409166666666678</v>
      </c>
      <c r="R10" s="7" t="str">
        <f t="shared" si="2"/>
        <v>35º59′13″ N</v>
      </c>
      <c r="S10" s="5" t="str">
        <f t="shared" si="3"/>
        <v>093º24′33″ W</v>
      </c>
      <c r="T10" s="5" t="str">
        <f t="shared" si="4"/>
        <v>35º59.22′N</v>
      </c>
      <c r="U10" s="5" t="str">
        <f t="shared" si="5"/>
        <v>093º24.55′W</v>
      </c>
    </row>
    <row r="11" spans="1:21" x14ac:dyDescent="0.2">
      <c r="A11" s="5">
        <v>158</v>
      </c>
      <c r="B11" s="11" t="s">
        <v>838</v>
      </c>
      <c r="C11" s="9" t="s">
        <v>433</v>
      </c>
      <c r="D11" s="9" t="s">
        <v>681</v>
      </c>
      <c r="E11" s="9" t="s">
        <v>682</v>
      </c>
      <c r="F11" s="12">
        <v>41</v>
      </c>
      <c r="G11" s="12">
        <v>20</v>
      </c>
      <c r="H11" s="12">
        <v>36</v>
      </c>
      <c r="I11" s="12" t="s">
        <v>132</v>
      </c>
      <c r="J11" s="12">
        <v>89</v>
      </c>
      <c r="K11" s="12">
        <v>2</v>
      </c>
      <c r="L11" s="12">
        <v>34</v>
      </c>
      <c r="M11" s="12" t="s">
        <v>138</v>
      </c>
      <c r="N11" s="45" t="s">
        <v>163</v>
      </c>
      <c r="O11" t="s">
        <v>107</v>
      </c>
      <c r="P11" s="7">
        <f t="shared" si="0"/>
        <v>41.343333333333334</v>
      </c>
      <c r="Q11" s="7">
        <f t="shared" si="1"/>
        <v>-89.042777777777772</v>
      </c>
      <c r="R11" s="7" t="str">
        <f t="shared" si="2"/>
        <v>41º20′36″ N</v>
      </c>
      <c r="S11" s="5" t="str">
        <f t="shared" si="3"/>
        <v>089º02′34″ W</v>
      </c>
      <c r="T11" s="5" t="str">
        <f t="shared" si="4"/>
        <v>41º20.60′N</v>
      </c>
      <c r="U11" s="5" t="str">
        <f t="shared" si="5"/>
        <v>089º02.57′W</v>
      </c>
    </row>
    <row r="12" spans="1:21" x14ac:dyDescent="0.2">
      <c r="A12" s="5">
        <v>86</v>
      </c>
      <c r="B12" s="11" t="s">
        <v>838</v>
      </c>
      <c r="C12" s="9" t="s">
        <v>433</v>
      </c>
      <c r="D12" s="9" t="s">
        <v>492</v>
      </c>
      <c r="E12" s="9" t="s">
        <v>493</v>
      </c>
      <c r="F12" s="5">
        <v>37</v>
      </c>
      <c r="G12" s="5">
        <v>31</v>
      </c>
      <c r="H12" s="5">
        <v>44</v>
      </c>
      <c r="I12" s="5" t="s">
        <v>132</v>
      </c>
      <c r="J12" s="5">
        <v>83</v>
      </c>
      <c r="K12" s="5">
        <v>20</v>
      </c>
      <c r="L12" s="5">
        <v>42</v>
      </c>
      <c r="M12" s="5" t="s">
        <v>138</v>
      </c>
      <c r="N12" s="45" t="s">
        <v>163</v>
      </c>
      <c r="O12" t="s">
        <v>107</v>
      </c>
      <c r="P12" s="7">
        <f t="shared" si="0"/>
        <v>37.528888888888886</v>
      </c>
      <c r="Q12" s="7">
        <f t="shared" si="1"/>
        <v>-83.344999999999999</v>
      </c>
      <c r="R12" s="7" t="str">
        <f t="shared" si="2"/>
        <v>37º31′44″ N</v>
      </c>
      <c r="S12" s="5" t="str">
        <f t="shared" si="3"/>
        <v>083º20′42″ W</v>
      </c>
      <c r="T12" s="5" t="str">
        <f t="shared" si="4"/>
        <v>37º31.73′N</v>
      </c>
      <c r="U12" s="5" t="str">
        <f t="shared" si="5"/>
        <v>083º20.70′W</v>
      </c>
    </row>
    <row r="13" spans="1:21" x14ac:dyDescent="0.2">
      <c r="A13" s="5">
        <v>108</v>
      </c>
      <c r="B13" s="11" t="s">
        <v>838</v>
      </c>
      <c r="C13" s="9" t="s">
        <v>433</v>
      </c>
      <c r="D13" s="9" t="s">
        <v>492</v>
      </c>
      <c r="E13" s="9" t="s">
        <v>554</v>
      </c>
      <c r="F13" s="5">
        <v>38</v>
      </c>
      <c r="G13" s="5">
        <v>22</v>
      </c>
      <c r="H13" s="5">
        <v>26</v>
      </c>
      <c r="I13" s="5" t="s">
        <v>132</v>
      </c>
      <c r="J13" s="5">
        <v>83</v>
      </c>
      <c r="K13" s="5">
        <v>7</v>
      </c>
      <c r="L13" s="5">
        <v>20</v>
      </c>
      <c r="M13" s="5" t="s">
        <v>138</v>
      </c>
      <c r="N13" s="43" t="s">
        <v>163</v>
      </c>
      <c r="O13" t="s">
        <v>107</v>
      </c>
      <c r="P13" s="7">
        <f t="shared" si="0"/>
        <v>38.373888888888892</v>
      </c>
      <c r="Q13" s="7">
        <f t="shared" si="1"/>
        <v>-83.12222222222222</v>
      </c>
      <c r="R13" s="7" t="str">
        <f t="shared" si="2"/>
        <v>38º22′26″ N</v>
      </c>
      <c r="S13" s="5" t="str">
        <f t="shared" si="3"/>
        <v>083º07′20″ W</v>
      </c>
      <c r="T13" s="5" t="str">
        <f t="shared" si="4"/>
        <v>38º22.43′N</v>
      </c>
      <c r="U13" s="5" t="str">
        <f t="shared" si="5"/>
        <v>083º07.33′W</v>
      </c>
    </row>
    <row r="14" spans="1:21" x14ac:dyDescent="0.2">
      <c r="A14" s="5">
        <v>70</v>
      </c>
      <c r="B14" s="11" t="s">
        <v>838</v>
      </c>
      <c r="C14" s="9" t="s">
        <v>433</v>
      </c>
      <c r="D14" s="9" t="s">
        <v>443</v>
      </c>
      <c r="E14" s="9" t="s">
        <v>445</v>
      </c>
      <c r="F14" s="5">
        <v>38</v>
      </c>
      <c r="G14" s="5">
        <v>5</v>
      </c>
      <c r="H14" s="5">
        <v>0</v>
      </c>
      <c r="I14" s="5" t="s">
        <v>132</v>
      </c>
      <c r="J14" s="5">
        <v>91</v>
      </c>
      <c r="K14" s="5">
        <v>0</v>
      </c>
      <c r="L14" s="5">
        <v>0</v>
      </c>
      <c r="M14" s="5" t="s">
        <v>138</v>
      </c>
      <c r="N14" s="45" t="s">
        <v>163</v>
      </c>
      <c r="O14" t="s">
        <v>107</v>
      </c>
      <c r="P14" s="7">
        <f t="shared" si="0"/>
        <v>38.083333333333336</v>
      </c>
      <c r="Q14" s="7">
        <f t="shared" si="1"/>
        <v>-91</v>
      </c>
      <c r="R14" s="7" t="str">
        <f t="shared" si="2"/>
        <v>38º05′00″ N</v>
      </c>
      <c r="S14" s="5" t="str">
        <f t="shared" si="3"/>
        <v>091º00′00″ W</v>
      </c>
      <c r="T14" s="5" t="str">
        <f t="shared" si="4"/>
        <v>38º05.00′N</v>
      </c>
      <c r="U14" s="5" t="str">
        <f t="shared" si="5"/>
        <v>091º00.00′W</v>
      </c>
    </row>
    <row r="15" spans="1:21" x14ac:dyDescent="0.2">
      <c r="A15" s="5">
        <v>77</v>
      </c>
      <c r="B15" s="11" t="s">
        <v>838</v>
      </c>
      <c r="C15" s="9" t="s">
        <v>433</v>
      </c>
      <c r="D15" s="9" t="s">
        <v>443</v>
      </c>
      <c r="E15" s="9" t="s">
        <v>469</v>
      </c>
      <c r="F15" s="5">
        <v>40</v>
      </c>
      <c r="G15" s="5">
        <v>28</v>
      </c>
      <c r="H15" s="5">
        <v>16</v>
      </c>
      <c r="I15" s="5" t="s">
        <v>132</v>
      </c>
      <c r="J15" s="5">
        <v>94</v>
      </c>
      <c r="K15" s="5">
        <v>34</v>
      </c>
      <c r="L15" s="5">
        <v>54</v>
      </c>
      <c r="M15" s="5" t="s">
        <v>138</v>
      </c>
      <c r="N15" s="45" t="s">
        <v>163</v>
      </c>
      <c r="O15" t="s">
        <v>107</v>
      </c>
      <c r="P15" s="7">
        <f t="shared" si="0"/>
        <v>40.471111111111114</v>
      </c>
      <c r="Q15" s="7">
        <f t="shared" si="1"/>
        <v>-94.581666666666663</v>
      </c>
      <c r="R15" s="7" t="str">
        <f t="shared" si="2"/>
        <v>40º28′16″ N</v>
      </c>
      <c r="S15" s="5" t="str">
        <f t="shared" si="3"/>
        <v>094º34′54″ W</v>
      </c>
      <c r="T15" s="5" t="str">
        <f t="shared" si="4"/>
        <v>40º28.27′N</v>
      </c>
      <c r="U15" s="5" t="str">
        <f t="shared" si="5"/>
        <v>094º34.90′W</v>
      </c>
    </row>
    <row r="16" spans="1:21" x14ac:dyDescent="0.2">
      <c r="A16" s="5">
        <v>135</v>
      </c>
      <c r="B16" s="11" t="s">
        <v>838</v>
      </c>
      <c r="C16" s="9" t="s">
        <v>433</v>
      </c>
      <c r="D16" s="9" t="s">
        <v>622</v>
      </c>
      <c r="E16" s="9" t="s">
        <v>623</v>
      </c>
      <c r="F16" s="5">
        <v>36</v>
      </c>
      <c r="G16" s="5">
        <v>26</v>
      </c>
      <c r="H16" s="5">
        <v>21</v>
      </c>
      <c r="I16" s="5" t="s">
        <v>132</v>
      </c>
      <c r="J16" s="5">
        <v>115</v>
      </c>
      <c r="K16" s="5">
        <v>21</v>
      </c>
      <c r="L16" s="5">
        <v>42</v>
      </c>
      <c r="M16" s="5" t="s">
        <v>138</v>
      </c>
      <c r="N16" s="45" t="s">
        <v>163</v>
      </c>
      <c r="O16" t="s">
        <v>107</v>
      </c>
      <c r="P16" s="7">
        <f t="shared" si="0"/>
        <v>36.439166666666665</v>
      </c>
      <c r="Q16" s="7">
        <f t="shared" si="1"/>
        <v>-115.36166666666666</v>
      </c>
      <c r="R16" s="7" t="str">
        <f t="shared" si="2"/>
        <v>36º26′21″ N</v>
      </c>
      <c r="S16" s="5" t="str">
        <f t="shared" si="3"/>
        <v>115º21′42″ W</v>
      </c>
      <c r="T16" s="5" t="str">
        <f t="shared" si="4"/>
        <v>36º26.35′N</v>
      </c>
      <c r="U16" s="5" t="str">
        <f t="shared" si="5"/>
        <v>115º21.70′W</v>
      </c>
    </row>
    <row r="17" spans="1:21" x14ac:dyDescent="0.2">
      <c r="A17" s="5">
        <v>150</v>
      </c>
      <c r="B17" s="11" t="s">
        <v>838</v>
      </c>
      <c r="C17" s="9" t="s">
        <v>433</v>
      </c>
      <c r="D17" s="9" t="s">
        <v>658</v>
      </c>
      <c r="E17" s="9" t="s">
        <v>660</v>
      </c>
      <c r="F17" s="12">
        <v>40</v>
      </c>
      <c r="G17" s="12">
        <v>56</v>
      </c>
      <c r="H17" s="12">
        <v>51</v>
      </c>
      <c r="I17" s="12" t="s">
        <v>132</v>
      </c>
      <c r="J17" s="12">
        <v>74</v>
      </c>
      <c r="K17" s="12">
        <v>29</v>
      </c>
      <c r="L17" s="12">
        <v>37</v>
      </c>
      <c r="M17" s="12" t="s">
        <v>138</v>
      </c>
      <c r="N17" s="45" t="s">
        <v>163</v>
      </c>
      <c r="O17" t="s">
        <v>107</v>
      </c>
      <c r="P17" s="7">
        <f t="shared" si="0"/>
        <v>40.947499999999998</v>
      </c>
      <c r="Q17" s="7">
        <f t="shared" si="1"/>
        <v>-74.493611111111107</v>
      </c>
      <c r="R17" s="7" t="str">
        <f t="shared" si="2"/>
        <v>40º56′51″ N</v>
      </c>
      <c r="S17" s="5" t="str">
        <f t="shared" si="3"/>
        <v>074º29′37″ W</v>
      </c>
      <c r="T17" s="5" t="str">
        <f t="shared" si="4"/>
        <v>40º56.85′N</v>
      </c>
      <c r="U17" s="5" t="str">
        <f t="shared" si="5"/>
        <v>074º29.62′W</v>
      </c>
    </row>
    <row r="18" spans="1:21" x14ac:dyDescent="0.2">
      <c r="A18" s="5">
        <v>204</v>
      </c>
      <c r="B18" s="11" t="s">
        <v>838</v>
      </c>
      <c r="C18" s="9" t="s">
        <v>433</v>
      </c>
      <c r="D18" s="9" t="s">
        <v>658</v>
      </c>
      <c r="E18" s="9" t="s">
        <v>822</v>
      </c>
      <c r="F18" s="5">
        <v>40</v>
      </c>
      <c r="G18" s="5">
        <v>54</v>
      </c>
      <c r="H18" s="5">
        <v>0</v>
      </c>
      <c r="I18" s="5" t="s">
        <v>132</v>
      </c>
      <c r="J18" s="5">
        <v>75</v>
      </c>
      <c r="K18" s="5">
        <v>0</v>
      </c>
      <c r="L18" s="5">
        <v>0</v>
      </c>
      <c r="M18" s="5" t="s">
        <v>138</v>
      </c>
      <c r="N18" s="45" t="s">
        <v>163</v>
      </c>
      <c r="O18" t="s">
        <v>107</v>
      </c>
      <c r="P18" s="7">
        <f t="shared" si="0"/>
        <v>40.9</v>
      </c>
      <c r="Q18" s="7">
        <f t="shared" si="1"/>
        <v>-75</v>
      </c>
      <c r="R18" s="7" t="str">
        <f t="shared" si="2"/>
        <v>40º54′00″ N</v>
      </c>
      <c r="S18" s="5" t="str">
        <f t="shared" si="3"/>
        <v>075º00′00″ W</v>
      </c>
      <c r="T18" s="5" t="str">
        <f t="shared" si="4"/>
        <v>40º54.00′N</v>
      </c>
      <c r="U18" s="5" t="str">
        <f t="shared" si="5"/>
        <v>075º00.00′W</v>
      </c>
    </row>
    <row r="19" spans="1:21" x14ac:dyDescent="0.2">
      <c r="A19" s="5">
        <v>66</v>
      </c>
      <c r="B19" s="11" t="s">
        <v>838</v>
      </c>
      <c r="C19" s="9" t="s">
        <v>433</v>
      </c>
      <c r="D19" s="9" t="s">
        <v>434</v>
      </c>
      <c r="E19" s="9" t="s">
        <v>107</v>
      </c>
      <c r="F19" s="5" t="s">
        <v>107</v>
      </c>
      <c r="G19" s="5" t="s">
        <v>107</v>
      </c>
      <c r="H19" s="5" t="s">
        <v>107</v>
      </c>
      <c r="I19" s="5" t="s">
        <v>107</v>
      </c>
      <c r="J19" s="5" t="s">
        <v>107</v>
      </c>
      <c r="K19" s="5" t="s">
        <v>107</v>
      </c>
      <c r="L19" s="5" t="s">
        <v>107</v>
      </c>
      <c r="M19" s="5" t="s">
        <v>107</v>
      </c>
      <c r="N19" s="45" t="s">
        <v>107</v>
      </c>
      <c r="O19" t="s">
        <v>107</v>
      </c>
      <c r="P19" s="7" t="str">
        <f t="shared" si="0"/>
        <v>-</v>
      </c>
      <c r="Q19" s="7" t="str">
        <f t="shared" si="1"/>
        <v>-</v>
      </c>
      <c r="R19" s="7" t="str">
        <f t="shared" si="2"/>
        <v>-</v>
      </c>
      <c r="S19" s="5" t="str">
        <f t="shared" si="3"/>
        <v>-</v>
      </c>
      <c r="T19" s="5" t="str">
        <f t="shared" si="4"/>
        <v>-</v>
      </c>
      <c r="U19" s="5" t="str">
        <f t="shared" si="5"/>
        <v>-</v>
      </c>
    </row>
    <row r="20" spans="1:21" x14ac:dyDescent="0.2">
      <c r="A20" s="5">
        <v>84</v>
      </c>
      <c r="B20" s="11" t="s">
        <v>838</v>
      </c>
      <c r="C20" s="9" t="s">
        <v>433</v>
      </c>
      <c r="D20" s="9" t="s">
        <v>434</v>
      </c>
      <c r="E20" s="9" t="s">
        <v>487</v>
      </c>
      <c r="F20" s="5">
        <v>41</v>
      </c>
      <c r="G20" s="5">
        <v>13</v>
      </c>
      <c r="H20" s="5">
        <v>33</v>
      </c>
      <c r="I20" s="5" t="s">
        <v>132</v>
      </c>
      <c r="J20" s="5">
        <v>82</v>
      </c>
      <c r="K20" s="5">
        <v>52</v>
      </c>
      <c r="L20" s="5">
        <v>28</v>
      </c>
      <c r="M20" s="5" t="s">
        <v>138</v>
      </c>
      <c r="N20" s="45" t="s">
        <v>163</v>
      </c>
      <c r="O20" t="s">
        <v>107</v>
      </c>
      <c r="P20" s="7">
        <f t="shared" si="0"/>
        <v>41.225833333333334</v>
      </c>
      <c r="Q20" s="7">
        <f t="shared" si="1"/>
        <v>-82.874444444444435</v>
      </c>
      <c r="R20" s="7" t="str">
        <f t="shared" si="2"/>
        <v>41º13′33″ N</v>
      </c>
      <c r="S20" s="5" t="str">
        <f t="shared" si="3"/>
        <v>082º52′28″ W</v>
      </c>
      <c r="T20" s="5" t="str">
        <f t="shared" si="4"/>
        <v>41º13.55′N</v>
      </c>
      <c r="U20" s="5" t="str">
        <f t="shared" si="5"/>
        <v>082º52.47′W</v>
      </c>
    </row>
    <row r="21" spans="1:21" x14ac:dyDescent="0.2">
      <c r="A21" s="5">
        <v>105</v>
      </c>
      <c r="B21" s="11" t="s">
        <v>838</v>
      </c>
      <c r="C21" s="9" t="s">
        <v>433</v>
      </c>
      <c r="D21" s="9" t="s">
        <v>444</v>
      </c>
      <c r="E21" s="9" t="s">
        <v>547</v>
      </c>
      <c r="F21" s="5">
        <v>34</v>
      </c>
      <c r="G21" s="5">
        <v>51</v>
      </c>
      <c r="H21" s="5">
        <v>43</v>
      </c>
      <c r="I21" s="5" t="s">
        <v>132</v>
      </c>
      <c r="J21" s="5">
        <v>99</v>
      </c>
      <c r="K21" s="5">
        <v>42</v>
      </c>
      <c r="L21" s="5">
        <v>14</v>
      </c>
      <c r="M21" s="5" t="s">
        <v>138</v>
      </c>
      <c r="N21" s="43" t="s">
        <v>549</v>
      </c>
      <c r="O21" t="s">
        <v>107</v>
      </c>
      <c r="P21" s="7">
        <f t="shared" si="0"/>
        <v>34.861944444444447</v>
      </c>
      <c r="Q21" s="7">
        <f t="shared" si="1"/>
        <v>-99.703888888888898</v>
      </c>
      <c r="R21" s="7" t="str">
        <f t="shared" si="2"/>
        <v>34º51′43″ N</v>
      </c>
      <c r="S21" s="5" t="str">
        <f t="shared" si="3"/>
        <v>099º42′14″ W</v>
      </c>
      <c r="T21" s="5" t="str">
        <f t="shared" si="4"/>
        <v>34º51.72′N</v>
      </c>
      <c r="U21" s="5" t="str">
        <f t="shared" si="5"/>
        <v>099º42.23′W</v>
      </c>
    </row>
    <row r="22" spans="1:21" x14ac:dyDescent="0.2">
      <c r="A22" s="5">
        <v>82</v>
      </c>
      <c r="B22" s="11" t="s">
        <v>838</v>
      </c>
      <c r="C22" s="9" t="s">
        <v>433</v>
      </c>
      <c r="D22" s="9" t="s">
        <v>444</v>
      </c>
      <c r="E22" s="9" t="s">
        <v>484</v>
      </c>
      <c r="F22" s="5">
        <v>36</v>
      </c>
      <c r="G22" s="5">
        <v>24</v>
      </c>
      <c r="H22" s="5">
        <v>32</v>
      </c>
      <c r="I22" s="5" t="s">
        <v>132</v>
      </c>
      <c r="J22" s="5">
        <v>98</v>
      </c>
      <c r="K22" s="5">
        <v>57</v>
      </c>
      <c r="L22" s="5">
        <v>13</v>
      </c>
      <c r="M22" s="5" t="s">
        <v>138</v>
      </c>
      <c r="N22" s="45" t="s">
        <v>163</v>
      </c>
      <c r="O22" t="s">
        <v>107</v>
      </c>
      <c r="P22" s="7">
        <f t="shared" si="0"/>
        <v>36.408888888888889</v>
      </c>
      <c r="Q22" s="7">
        <f t="shared" si="1"/>
        <v>-98.953611111111115</v>
      </c>
      <c r="R22" s="7" t="str">
        <f t="shared" si="2"/>
        <v>36º24′32″ N</v>
      </c>
      <c r="S22" s="5" t="str">
        <f t="shared" si="3"/>
        <v>098º57′13″ W</v>
      </c>
      <c r="T22" s="5" t="str">
        <f t="shared" si="4"/>
        <v>36º24.53′N</v>
      </c>
      <c r="U22" s="5" t="str">
        <f t="shared" si="5"/>
        <v>098º57.22′W</v>
      </c>
    </row>
    <row r="23" spans="1:21" x14ac:dyDescent="0.2">
      <c r="A23" s="5">
        <v>122</v>
      </c>
      <c r="B23" s="11" t="s">
        <v>838</v>
      </c>
      <c r="C23" s="9" t="s">
        <v>433</v>
      </c>
      <c r="D23" s="9" t="s">
        <v>444</v>
      </c>
      <c r="E23" s="9" t="s">
        <v>603</v>
      </c>
      <c r="F23" s="5">
        <v>36</v>
      </c>
      <c r="G23" s="5">
        <v>24</v>
      </c>
      <c r="H23" s="5">
        <v>46</v>
      </c>
      <c r="I23" s="5" t="s">
        <v>132</v>
      </c>
      <c r="J23" s="5">
        <v>98</v>
      </c>
      <c r="K23" s="5">
        <v>56</v>
      </c>
      <c r="L23" s="5">
        <v>3</v>
      </c>
      <c r="M23" s="5" t="s">
        <v>138</v>
      </c>
      <c r="N23" s="45" t="s">
        <v>163</v>
      </c>
      <c r="O23" t="s">
        <v>107</v>
      </c>
      <c r="P23" s="7">
        <f t="shared" si="0"/>
        <v>36.412777777777777</v>
      </c>
      <c r="Q23" s="7">
        <f t="shared" si="1"/>
        <v>-98.93416666666667</v>
      </c>
      <c r="R23" s="7" t="str">
        <f t="shared" si="2"/>
        <v>36º24′46″ N</v>
      </c>
      <c r="S23" s="5" t="str">
        <f t="shared" si="3"/>
        <v>098º56′03″ W</v>
      </c>
      <c r="T23" s="5" t="str">
        <f t="shared" si="4"/>
        <v>36º24.77′N</v>
      </c>
      <c r="U23" s="5" t="str">
        <f t="shared" si="5"/>
        <v>098º56.05′W</v>
      </c>
    </row>
    <row r="24" spans="1:21" x14ac:dyDescent="0.2">
      <c r="A24" s="5">
        <v>83</v>
      </c>
      <c r="B24" s="11" t="s">
        <v>838</v>
      </c>
      <c r="C24" s="9" t="s">
        <v>433</v>
      </c>
      <c r="D24" s="9" t="s">
        <v>444</v>
      </c>
      <c r="E24" s="9" t="s">
        <v>485</v>
      </c>
      <c r="F24" s="5">
        <v>36</v>
      </c>
      <c r="G24" s="5">
        <v>42</v>
      </c>
      <c r="H24" s="5">
        <v>0</v>
      </c>
      <c r="I24" s="5" t="s">
        <v>132</v>
      </c>
      <c r="J24" s="5">
        <v>99</v>
      </c>
      <c r="K24" s="5">
        <v>10</v>
      </c>
      <c r="L24" s="5">
        <v>0</v>
      </c>
      <c r="M24" s="5" t="s">
        <v>138</v>
      </c>
      <c r="N24" s="45" t="s">
        <v>163</v>
      </c>
      <c r="O24" t="s">
        <v>107</v>
      </c>
      <c r="P24" s="7">
        <f t="shared" si="0"/>
        <v>36.700000000000003</v>
      </c>
      <c r="Q24" s="7">
        <f t="shared" si="1"/>
        <v>-99.166666666666671</v>
      </c>
      <c r="R24" s="7" t="str">
        <f t="shared" si="2"/>
        <v>36º42′00″ N</v>
      </c>
      <c r="S24" s="5" t="str">
        <f t="shared" si="3"/>
        <v>099º10′00″ W</v>
      </c>
      <c r="T24" s="5" t="str">
        <f t="shared" si="4"/>
        <v>36º42.00′N</v>
      </c>
      <c r="U24" s="5" t="str">
        <f t="shared" si="5"/>
        <v>099º10.00′W</v>
      </c>
    </row>
    <row r="25" spans="1:21" x14ac:dyDescent="0.2">
      <c r="A25" s="5">
        <v>106</v>
      </c>
      <c r="B25" s="11" t="s">
        <v>838</v>
      </c>
      <c r="C25" s="9" t="s">
        <v>433</v>
      </c>
      <c r="D25" s="9" t="s">
        <v>444</v>
      </c>
      <c r="E25" s="9" t="s">
        <v>548</v>
      </c>
      <c r="F25" s="5">
        <v>36</v>
      </c>
      <c r="G25" s="5">
        <v>59</v>
      </c>
      <c r="H25" s="5">
        <v>34</v>
      </c>
      <c r="I25" s="5" t="s">
        <v>132</v>
      </c>
      <c r="J25" s="5">
        <v>99</v>
      </c>
      <c r="K25" s="5">
        <v>3</v>
      </c>
      <c r="L25" s="5">
        <v>33</v>
      </c>
      <c r="M25" s="5" t="s">
        <v>138</v>
      </c>
      <c r="N25" s="43" t="s">
        <v>163</v>
      </c>
      <c r="O25" t="s">
        <v>107</v>
      </c>
      <c r="P25" s="7">
        <f t="shared" si="0"/>
        <v>36.992777777777782</v>
      </c>
      <c r="Q25" s="7">
        <f t="shared" si="1"/>
        <v>-99.05916666666667</v>
      </c>
      <c r="R25" s="7" t="str">
        <f t="shared" si="2"/>
        <v>36º59′34″ N</v>
      </c>
      <c r="S25" s="5" t="str">
        <f t="shared" si="3"/>
        <v>099º03′33″ W</v>
      </c>
      <c r="T25" s="5" t="str">
        <f t="shared" si="4"/>
        <v>36º59.57′N</v>
      </c>
      <c r="U25" s="5" t="str">
        <f t="shared" si="5"/>
        <v>099º03.55′W</v>
      </c>
    </row>
    <row r="26" spans="1:21" x14ac:dyDescent="0.2">
      <c r="A26" s="5">
        <v>71</v>
      </c>
      <c r="B26" s="11" t="s">
        <v>838</v>
      </c>
      <c r="C26" s="9" t="s">
        <v>433</v>
      </c>
      <c r="D26" s="9" t="s">
        <v>444</v>
      </c>
      <c r="E26" s="9" t="s">
        <v>446</v>
      </c>
      <c r="F26" s="5">
        <v>36</v>
      </c>
      <c r="G26" s="5">
        <v>41</v>
      </c>
      <c r="H26" s="5">
        <v>55</v>
      </c>
      <c r="I26" s="5" t="s">
        <v>132</v>
      </c>
      <c r="J26" s="5">
        <v>99</v>
      </c>
      <c r="K26" s="5">
        <v>8</v>
      </c>
      <c r="L26" s="5">
        <v>46</v>
      </c>
      <c r="M26" s="5" t="s">
        <v>138</v>
      </c>
      <c r="N26" s="45" t="s">
        <v>163</v>
      </c>
      <c r="O26" t="s">
        <v>107</v>
      </c>
      <c r="P26" s="7">
        <f t="shared" si="0"/>
        <v>36.698611111111106</v>
      </c>
      <c r="Q26" s="7">
        <f t="shared" si="1"/>
        <v>-99.146111111111111</v>
      </c>
      <c r="R26" s="7" t="str">
        <f t="shared" si="2"/>
        <v>36º41′55″ N</v>
      </c>
      <c r="S26" s="5" t="str">
        <f t="shared" si="3"/>
        <v>099º08′46″ W</v>
      </c>
      <c r="T26" s="5" t="str">
        <f t="shared" si="4"/>
        <v>36º41.92′N</v>
      </c>
      <c r="U26" s="5" t="str">
        <f t="shared" si="5"/>
        <v>099º08.77′W</v>
      </c>
    </row>
    <row r="27" spans="1:21" x14ac:dyDescent="0.2">
      <c r="A27" s="5">
        <v>151</v>
      </c>
      <c r="B27" s="11" t="s">
        <v>838</v>
      </c>
      <c r="C27" s="9" t="s">
        <v>433</v>
      </c>
      <c r="D27" s="9" t="s">
        <v>659</v>
      </c>
      <c r="E27" s="9" t="s">
        <v>661</v>
      </c>
      <c r="F27" s="12">
        <v>40</v>
      </c>
      <c r="G27" s="12">
        <v>44</v>
      </c>
      <c r="H27" s="12">
        <v>22</v>
      </c>
      <c r="I27" s="12" t="s">
        <v>132</v>
      </c>
      <c r="J27" s="12">
        <v>77</v>
      </c>
      <c r="K27" s="12">
        <v>31</v>
      </c>
      <c r="L27" s="12">
        <v>56</v>
      </c>
      <c r="M27" s="12" t="s">
        <v>138</v>
      </c>
      <c r="N27" s="45" t="s">
        <v>163</v>
      </c>
      <c r="O27" t="s">
        <v>107</v>
      </c>
      <c r="P27" s="7">
        <f t="shared" si="0"/>
        <v>40.739444444444445</v>
      </c>
      <c r="Q27" s="7">
        <f t="shared" si="1"/>
        <v>-77.532222222222217</v>
      </c>
      <c r="R27" s="7" t="str">
        <f t="shared" si="2"/>
        <v>40º44′22″ N</v>
      </c>
      <c r="S27" s="5" t="str">
        <f t="shared" si="3"/>
        <v>077º31′56″ W</v>
      </c>
      <c r="T27" s="5" t="str">
        <f t="shared" si="4"/>
        <v>40º44.37′N</v>
      </c>
      <c r="U27" s="5" t="str">
        <f t="shared" si="5"/>
        <v>077º31.93′W</v>
      </c>
    </row>
    <row r="28" spans="1:21" x14ac:dyDescent="0.2">
      <c r="A28" s="5">
        <v>92</v>
      </c>
      <c r="B28" s="11" t="s">
        <v>838</v>
      </c>
      <c r="C28" s="9" t="s">
        <v>433</v>
      </c>
      <c r="D28" s="9" t="s">
        <v>508</v>
      </c>
      <c r="E28" s="9" t="s">
        <v>509</v>
      </c>
      <c r="F28" s="5">
        <v>30</v>
      </c>
      <c r="G28" s="5">
        <v>34</v>
      </c>
      <c r="H28" s="5">
        <v>4</v>
      </c>
      <c r="I28" s="5" t="s">
        <v>132</v>
      </c>
      <c r="J28" s="5">
        <v>99</v>
      </c>
      <c r="K28" s="5">
        <v>19</v>
      </c>
      <c r="L28" s="5">
        <v>50</v>
      </c>
      <c r="M28" s="5" t="s">
        <v>138</v>
      </c>
      <c r="N28" s="45" t="s">
        <v>163</v>
      </c>
      <c r="O28" t="s">
        <v>107</v>
      </c>
      <c r="P28" s="7">
        <f t="shared" si="0"/>
        <v>30.567777777777778</v>
      </c>
      <c r="Q28" s="7">
        <f t="shared" si="1"/>
        <v>-99.330555555555549</v>
      </c>
      <c r="R28" s="7" t="str">
        <f t="shared" si="2"/>
        <v>30º34′04″ N</v>
      </c>
      <c r="S28" s="5" t="str">
        <f t="shared" si="3"/>
        <v>099º19′50″ W</v>
      </c>
      <c r="T28" s="5" t="str">
        <f t="shared" si="4"/>
        <v>30º34.07′N</v>
      </c>
      <c r="U28" s="5" t="str">
        <f t="shared" si="5"/>
        <v>099º19.83′W</v>
      </c>
    </row>
    <row r="29" spans="1:21" x14ac:dyDescent="0.2">
      <c r="A29" s="5">
        <v>205</v>
      </c>
      <c r="B29" s="11" t="s">
        <v>838</v>
      </c>
      <c r="C29" s="9" t="s">
        <v>433</v>
      </c>
      <c r="D29" s="9" t="s">
        <v>824</v>
      </c>
      <c r="E29" s="9" t="s">
        <v>107</v>
      </c>
      <c r="F29" s="5" t="s">
        <v>107</v>
      </c>
      <c r="G29" s="5" t="s">
        <v>107</v>
      </c>
      <c r="H29" s="5" t="s">
        <v>107</v>
      </c>
      <c r="I29" s="5" t="s">
        <v>107</v>
      </c>
      <c r="J29" s="5" t="s">
        <v>107</v>
      </c>
      <c r="K29" s="5" t="s">
        <v>107</v>
      </c>
      <c r="L29" s="5" t="s">
        <v>107</v>
      </c>
      <c r="M29" s="5" t="s">
        <v>107</v>
      </c>
      <c r="N29" s="45" t="s">
        <v>107</v>
      </c>
      <c r="O29" t="s">
        <v>107</v>
      </c>
      <c r="P29" s="7" t="str">
        <f t="shared" si="0"/>
        <v>-</v>
      </c>
      <c r="Q29" s="7" t="str">
        <f t="shared" si="1"/>
        <v>-</v>
      </c>
      <c r="R29" s="7" t="str">
        <f t="shared" si="2"/>
        <v>-</v>
      </c>
      <c r="S29" s="5" t="str">
        <f t="shared" si="3"/>
        <v>-</v>
      </c>
      <c r="T29" s="5" t="str">
        <f t="shared" si="4"/>
        <v>-</v>
      </c>
      <c r="U29" s="5" t="str">
        <f t="shared" si="5"/>
        <v>-</v>
      </c>
    </row>
    <row r="30" spans="1:21" x14ac:dyDescent="0.2">
      <c r="A30" s="5">
        <v>159</v>
      </c>
      <c r="B30" s="11" t="s">
        <v>838</v>
      </c>
      <c r="C30" s="9" t="s">
        <v>433</v>
      </c>
      <c r="D30" s="9" t="s">
        <v>683</v>
      </c>
      <c r="E30" s="9" t="s">
        <v>684</v>
      </c>
      <c r="F30" s="12">
        <v>45</v>
      </c>
      <c r="G30" s="12">
        <v>27</v>
      </c>
      <c r="H30" s="12">
        <v>20</v>
      </c>
      <c r="I30" s="12" t="s">
        <v>132</v>
      </c>
      <c r="J30" s="12">
        <v>91</v>
      </c>
      <c r="K30" s="12">
        <v>16</v>
      </c>
      <c r="L30" s="12">
        <v>21</v>
      </c>
      <c r="M30" s="12" t="s">
        <v>138</v>
      </c>
      <c r="N30" s="45" t="s">
        <v>685</v>
      </c>
      <c r="O30" t="s">
        <v>107</v>
      </c>
      <c r="P30" s="7">
        <f t="shared" si="0"/>
        <v>45.455555555555556</v>
      </c>
      <c r="Q30" s="7">
        <f t="shared" si="1"/>
        <v>-91.272499999999994</v>
      </c>
      <c r="R30" s="7" t="str">
        <f t="shared" si="2"/>
        <v>45º27′20″ N</v>
      </c>
      <c r="S30" s="5" t="str">
        <f t="shared" si="3"/>
        <v>091º16′21″ W</v>
      </c>
      <c r="T30" s="5" t="str">
        <f t="shared" si="4"/>
        <v>45º27.33′N</v>
      </c>
      <c r="U30" s="5" t="str">
        <f t="shared" si="5"/>
        <v>091º16.35′W</v>
      </c>
    </row>
    <row r="31" spans="1:21" x14ac:dyDescent="0.2">
      <c r="A31" s="5">
        <v>213</v>
      </c>
      <c r="B31" s="11" t="s">
        <v>836</v>
      </c>
      <c r="C31" s="8" t="s">
        <v>135</v>
      </c>
      <c r="D31" t="s">
        <v>107</v>
      </c>
      <c r="E31" t="s">
        <v>107</v>
      </c>
      <c r="F31" s="5" t="s">
        <v>107</v>
      </c>
      <c r="G31" s="5" t="s">
        <v>107</v>
      </c>
      <c r="H31" s="5" t="s">
        <v>107</v>
      </c>
      <c r="I31" s="5" t="s">
        <v>107</v>
      </c>
      <c r="J31" s="5" t="s">
        <v>107</v>
      </c>
      <c r="K31" s="5" t="s">
        <v>107</v>
      </c>
      <c r="L31" s="5" t="s">
        <v>107</v>
      </c>
      <c r="M31" s="5" t="s">
        <v>107</v>
      </c>
      <c r="N31" s="45" t="s">
        <v>107</v>
      </c>
      <c r="O31" t="s">
        <v>107</v>
      </c>
      <c r="P31" s="7" t="str">
        <f t="shared" si="0"/>
        <v>-</v>
      </c>
      <c r="Q31" s="7" t="str">
        <f t="shared" si="1"/>
        <v>-</v>
      </c>
      <c r="R31" s="7" t="str">
        <f t="shared" si="2"/>
        <v>-</v>
      </c>
      <c r="S31" s="5" t="str">
        <f t="shared" si="3"/>
        <v>-</v>
      </c>
      <c r="T31" s="5" t="str">
        <f t="shared" si="4"/>
        <v>-</v>
      </c>
      <c r="U31" s="5" t="str">
        <f t="shared" si="5"/>
        <v>-</v>
      </c>
    </row>
    <row r="32" spans="1:21" x14ac:dyDescent="0.2">
      <c r="A32" s="5">
        <v>2</v>
      </c>
      <c r="B32" s="11" t="s">
        <v>836</v>
      </c>
      <c r="C32" t="s">
        <v>135</v>
      </c>
      <c r="D32" t="s">
        <v>136</v>
      </c>
      <c r="E32" t="s">
        <v>137</v>
      </c>
      <c r="F32" s="5">
        <v>28</v>
      </c>
      <c r="G32" s="5">
        <v>30</v>
      </c>
      <c r="H32" s="5">
        <v>27</v>
      </c>
      <c r="I32" s="5" t="s">
        <v>131</v>
      </c>
      <c r="J32" s="5">
        <v>59</v>
      </c>
      <c r="K32" s="5">
        <v>2</v>
      </c>
      <c r="L32" s="5">
        <v>41</v>
      </c>
      <c r="M32" s="5" t="s">
        <v>138</v>
      </c>
      <c r="N32" s="37" t="s">
        <v>1186</v>
      </c>
      <c r="O32" t="s">
        <v>107</v>
      </c>
      <c r="P32" s="7">
        <f t="shared" si="0"/>
        <v>-28.5075</v>
      </c>
      <c r="Q32" s="7">
        <f t="shared" si="1"/>
        <v>-59.044722222222219</v>
      </c>
      <c r="R32" s="7" t="str">
        <f t="shared" si="2"/>
        <v>28º30′27″ S</v>
      </c>
      <c r="S32" s="5" t="str">
        <f t="shared" si="3"/>
        <v>059º02′41″ W</v>
      </c>
      <c r="T32" s="5" t="str">
        <f t="shared" si="4"/>
        <v>28º30.45′S</v>
      </c>
      <c r="U32" s="5" t="str">
        <f t="shared" si="5"/>
        <v>059º02.68′W</v>
      </c>
    </row>
    <row r="33" spans="1:21" x14ac:dyDescent="0.2">
      <c r="A33" s="5">
        <v>95</v>
      </c>
      <c r="B33" s="11" t="s">
        <v>836</v>
      </c>
      <c r="C33" s="9" t="s">
        <v>135</v>
      </c>
      <c r="D33" s="9" t="s">
        <v>136</v>
      </c>
      <c r="E33" s="9" t="s">
        <v>517</v>
      </c>
      <c r="F33" s="5">
        <v>28</v>
      </c>
      <c r="G33" s="5">
        <v>32</v>
      </c>
      <c r="H33" s="5">
        <v>44.28</v>
      </c>
      <c r="I33" s="5" t="s">
        <v>131</v>
      </c>
      <c r="J33" s="5">
        <v>57</v>
      </c>
      <c r="K33" s="5">
        <v>11</v>
      </c>
      <c r="L33" s="5">
        <v>47.82</v>
      </c>
      <c r="M33" s="5" t="s">
        <v>138</v>
      </c>
      <c r="N33" s="39" t="s">
        <v>1227</v>
      </c>
      <c r="O33" t="s">
        <v>107</v>
      </c>
      <c r="P33" s="7">
        <f t="shared" si="0"/>
        <v>-28.545633333333335</v>
      </c>
      <c r="Q33" s="7">
        <f t="shared" si="1"/>
        <v>-57.196616666666664</v>
      </c>
      <c r="R33" s="7" t="str">
        <f t="shared" si="2"/>
        <v>28º32′44″ S</v>
      </c>
      <c r="S33" s="5" t="str">
        <f t="shared" si="3"/>
        <v>057º11′48″ W</v>
      </c>
      <c r="T33" s="5" t="str">
        <f t="shared" si="4"/>
        <v>28º32.74′S</v>
      </c>
      <c r="U33" s="5" t="str">
        <f t="shared" si="5"/>
        <v>057º11.80′W</v>
      </c>
    </row>
    <row r="34" spans="1:21" x14ac:dyDescent="0.2">
      <c r="A34" s="5">
        <v>60</v>
      </c>
      <c r="B34" s="11" t="s">
        <v>836</v>
      </c>
      <c r="C34" s="9" t="s">
        <v>135</v>
      </c>
      <c r="D34" s="9" t="s">
        <v>406</v>
      </c>
      <c r="E34" s="9" t="s">
        <v>407</v>
      </c>
      <c r="F34" s="5">
        <v>23</v>
      </c>
      <c r="G34" s="5">
        <v>38</v>
      </c>
      <c r="H34" s="5">
        <v>30</v>
      </c>
      <c r="I34" s="5" t="s">
        <v>131</v>
      </c>
      <c r="J34" s="5">
        <v>64</v>
      </c>
      <c r="K34" s="5">
        <v>50</v>
      </c>
      <c r="L34" s="5">
        <v>17</v>
      </c>
      <c r="M34" s="5" t="s">
        <v>138</v>
      </c>
      <c r="N34" s="37" t="s">
        <v>1200</v>
      </c>
      <c r="O34" t="s">
        <v>107</v>
      </c>
      <c r="P34" s="7">
        <f t="shared" si="0"/>
        <v>-23.641666666666666</v>
      </c>
      <c r="Q34" s="7">
        <f t="shared" si="1"/>
        <v>-64.838055555555556</v>
      </c>
      <c r="R34" s="7" t="str">
        <f t="shared" si="2"/>
        <v>23º38′30″ S</v>
      </c>
      <c r="S34" s="5" t="str">
        <f t="shared" si="3"/>
        <v>064º50′17″ W</v>
      </c>
      <c r="T34" s="5" t="str">
        <f t="shared" si="4"/>
        <v>23º38.50′S</v>
      </c>
      <c r="U34" s="5" t="str">
        <f t="shared" si="5"/>
        <v>064º50.28′W</v>
      </c>
    </row>
    <row r="35" spans="1:21" x14ac:dyDescent="0.2">
      <c r="A35" s="5">
        <v>61</v>
      </c>
      <c r="B35" s="11" t="s">
        <v>836</v>
      </c>
      <c r="C35" s="9" t="s">
        <v>135</v>
      </c>
      <c r="D35" s="9" t="s">
        <v>408</v>
      </c>
      <c r="E35" s="9" t="s">
        <v>409</v>
      </c>
      <c r="F35" s="5">
        <v>25</v>
      </c>
      <c r="G35" s="5">
        <v>28</v>
      </c>
      <c r="H35" s="5">
        <v>0</v>
      </c>
      <c r="I35" s="5" t="s">
        <v>131</v>
      </c>
      <c r="J35" s="5">
        <v>65</v>
      </c>
      <c r="K35" s="5">
        <v>1</v>
      </c>
      <c r="L35" s="5">
        <v>0</v>
      </c>
      <c r="M35" s="5" t="s">
        <v>138</v>
      </c>
      <c r="N35" s="37" t="s">
        <v>1200</v>
      </c>
      <c r="O35" t="s">
        <v>107</v>
      </c>
      <c r="P35" s="7">
        <f t="shared" si="0"/>
        <v>-25.466666666666665</v>
      </c>
      <c r="Q35" s="7">
        <f t="shared" si="1"/>
        <v>-65.016666666666666</v>
      </c>
      <c r="R35" s="7" t="str">
        <f t="shared" si="2"/>
        <v>25º28′00″ S</v>
      </c>
      <c r="S35" s="5" t="str">
        <f t="shared" si="3"/>
        <v>065º01′00″ W</v>
      </c>
      <c r="T35" s="5" t="str">
        <f t="shared" si="4"/>
        <v>25º28.00′S</v>
      </c>
      <c r="U35" s="5" t="str">
        <f t="shared" si="5"/>
        <v>065º01.00′W</v>
      </c>
    </row>
    <row r="36" spans="1:21" x14ac:dyDescent="0.2">
      <c r="A36" s="5">
        <v>116</v>
      </c>
      <c r="B36" s="11" t="s">
        <v>836</v>
      </c>
      <c r="C36" s="9" t="s">
        <v>135</v>
      </c>
      <c r="D36" s="9" t="s">
        <v>579</v>
      </c>
      <c r="E36" s="9" t="s">
        <v>580</v>
      </c>
      <c r="F36" s="5">
        <v>31</v>
      </c>
      <c r="G36" s="5">
        <v>26</v>
      </c>
      <c r="H36" s="5">
        <v>58</v>
      </c>
      <c r="I36" s="5" t="s">
        <v>131</v>
      </c>
      <c r="J36" s="5">
        <v>60</v>
      </c>
      <c r="K36" s="5">
        <v>55</v>
      </c>
      <c r="L36" s="5">
        <v>51</v>
      </c>
      <c r="M36" s="5" t="s">
        <v>138</v>
      </c>
      <c r="N36" s="37" t="s">
        <v>1215</v>
      </c>
      <c r="O36" t="s">
        <v>107</v>
      </c>
      <c r="P36" s="7">
        <f t="shared" si="0"/>
        <v>-31.449444444444445</v>
      </c>
      <c r="Q36" s="7">
        <f t="shared" si="1"/>
        <v>-60.930833333333332</v>
      </c>
      <c r="R36" s="7" t="str">
        <f t="shared" si="2"/>
        <v>31º26′58″ S</v>
      </c>
      <c r="S36" s="5" t="str">
        <f t="shared" si="3"/>
        <v>060º55′51″ W</v>
      </c>
      <c r="T36" s="5" t="str">
        <f t="shared" si="4"/>
        <v>31º26.97′S</v>
      </c>
      <c r="U36" s="5" t="str">
        <f t="shared" si="5"/>
        <v>060º55.85′W</v>
      </c>
    </row>
    <row r="37" spans="1:21" x14ac:dyDescent="0.2">
      <c r="A37" s="5">
        <v>123</v>
      </c>
      <c r="B37" s="11" t="s">
        <v>836</v>
      </c>
      <c r="C37" s="9" t="s">
        <v>135</v>
      </c>
      <c r="D37" s="9" t="s">
        <v>579</v>
      </c>
      <c r="E37" s="9" t="s">
        <v>605</v>
      </c>
      <c r="F37" s="5">
        <v>32</v>
      </c>
      <c r="G37" s="5">
        <v>56</v>
      </c>
      <c r="H37" s="5">
        <v>37.25</v>
      </c>
      <c r="I37" s="5" t="s">
        <v>131</v>
      </c>
      <c r="J37" s="5">
        <v>60</v>
      </c>
      <c r="K37" s="5">
        <v>39</v>
      </c>
      <c r="L37" s="5">
        <v>2.42</v>
      </c>
      <c r="M37" s="5" t="s">
        <v>138</v>
      </c>
      <c r="N37" s="39" t="s">
        <v>1211</v>
      </c>
      <c r="O37" t="s">
        <v>107</v>
      </c>
      <c r="P37" s="7">
        <f t="shared" si="0"/>
        <v>-32.943680555555552</v>
      </c>
      <c r="Q37" s="7">
        <f t="shared" si="1"/>
        <v>-60.650672222222219</v>
      </c>
      <c r="R37" s="7" t="str">
        <f t="shared" si="2"/>
        <v>32º56′37″ S</v>
      </c>
      <c r="S37" s="5" t="str">
        <f t="shared" si="3"/>
        <v>060º39′02″ W</v>
      </c>
      <c r="T37" s="5" t="str">
        <f t="shared" si="4"/>
        <v>32º56.62′S</v>
      </c>
      <c r="U37" s="5" t="str">
        <f t="shared" si="5"/>
        <v>060º39.04′W</v>
      </c>
    </row>
    <row r="38" spans="1:21" x14ac:dyDescent="0.2">
      <c r="A38" s="5">
        <v>24</v>
      </c>
      <c r="B38" s="11" t="s">
        <v>836</v>
      </c>
      <c r="C38" s="9" t="s">
        <v>272</v>
      </c>
      <c r="D38" s="9" t="s">
        <v>273</v>
      </c>
      <c r="E38" s="9" t="s">
        <v>274</v>
      </c>
      <c r="F38" s="5">
        <v>19</v>
      </c>
      <c r="G38" s="5">
        <v>50</v>
      </c>
      <c r="H38" s="5">
        <v>47.9</v>
      </c>
      <c r="I38" s="5" t="s">
        <v>131</v>
      </c>
      <c r="J38" s="5">
        <v>63</v>
      </c>
      <c r="K38" s="5">
        <v>40</v>
      </c>
      <c r="L38" s="5">
        <v>41.1</v>
      </c>
      <c r="M38" s="5" t="s">
        <v>138</v>
      </c>
      <c r="N38" s="37" t="s">
        <v>1228</v>
      </c>
      <c r="O38" t="s">
        <v>107</v>
      </c>
      <c r="P38" s="7">
        <f t="shared" si="0"/>
        <v>-19.846638888888886</v>
      </c>
      <c r="Q38" s="7">
        <f t="shared" si="1"/>
        <v>-63.678083333333333</v>
      </c>
      <c r="R38" s="7" t="str">
        <f t="shared" si="2"/>
        <v>19º50′48″ S</v>
      </c>
      <c r="S38" s="5" t="str">
        <f t="shared" si="3"/>
        <v>063º40′41″ W</v>
      </c>
      <c r="T38" s="5" t="str">
        <f t="shared" si="4"/>
        <v>19º50.80′S</v>
      </c>
      <c r="U38" s="5" t="str">
        <f t="shared" si="5"/>
        <v>063º40.69′W</v>
      </c>
    </row>
    <row r="39" spans="1:21" x14ac:dyDescent="0.2">
      <c r="A39" s="5">
        <v>215</v>
      </c>
      <c r="B39" s="11" t="s">
        <v>836</v>
      </c>
      <c r="C39" s="8" t="s">
        <v>283</v>
      </c>
      <c r="D39" t="s">
        <v>107</v>
      </c>
      <c r="E39" t="s">
        <v>107</v>
      </c>
      <c r="F39" s="5" t="s">
        <v>107</v>
      </c>
      <c r="G39" s="5" t="s">
        <v>107</v>
      </c>
      <c r="H39" s="5" t="s">
        <v>107</v>
      </c>
      <c r="I39" s="5" t="s">
        <v>107</v>
      </c>
      <c r="J39" s="5" t="s">
        <v>107</v>
      </c>
      <c r="K39" s="5" t="s">
        <v>107</v>
      </c>
      <c r="L39" s="5" t="s">
        <v>107</v>
      </c>
      <c r="M39" s="5" t="s">
        <v>107</v>
      </c>
      <c r="N39" s="43" t="s">
        <v>107</v>
      </c>
      <c r="O39" t="s">
        <v>107</v>
      </c>
      <c r="P39" s="7" t="str">
        <f t="shared" si="0"/>
        <v>-</v>
      </c>
      <c r="Q39" s="7" t="str">
        <f t="shared" si="1"/>
        <v>-</v>
      </c>
      <c r="R39" s="7" t="str">
        <f t="shared" si="2"/>
        <v>-</v>
      </c>
      <c r="S39" s="5" t="str">
        <f t="shared" si="3"/>
        <v>-</v>
      </c>
      <c r="T39" s="5" t="str">
        <f t="shared" si="4"/>
        <v>-</v>
      </c>
      <c r="U39" s="5" t="str">
        <f t="shared" si="5"/>
        <v>-</v>
      </c>
    </row>
    <row r="40" spans="1:21" x14ac:dyDescent="0.2">
      <c r="A40" s="5">
        <v>37</v>
      </c>
      <c r="B40" s="11" t="s">
        <v>836</v>
      </c>
      <c r="C40" s="9" t="s">
        <v>283</v>
      </c>
      <c r="D40" s="9" t="s">
        <v>304</v>
      </c>
      <c r="E40" s="9" t="s">
        <v>321</v>
      </c>
      <c r="F40" s="5">
        <v>2</v>
      </c>
      <c r="G40" s="5">
        <v>25</v>
      </c>
      <c r="H40" s="5">
        <v>0</v>
      </c>
      <c r="I40" s="5" t="s">
        <v>131</v>
      </c>
      <c r="J40" s="5">
        <v>59</v>
      </c>
      <c r="K40" s="5">
        <v>50</v>
      </c>
      <c r="L40" s="5">
        <v>0</v>
      </c>
      <c r="M40" s="5" t="s">
        <v>138</v>
      </c>
      <c r="N40" s="37" t="s">
        <v>1229</v>
      </c>
      <c r="O40" t="s">
        <v>107</v>
      </c>
      <c r="P40" s="7">
        <f t="shared" si="0"/>
        <v>-2.4166666666666665</v>
      </c>
      <c r="Q40" s="7">
        <f t="shared" si="1"/>
        <v>-59.833333333333336</v>
      </c>
      <c r="R40" s="7" t="str">
        <f t="shared" si="2"/>
        <v>02º25′00″ S</v>
      </c>
      <c r="S40" s="5" t="str">
        <f t="shared" si="3"/>
        <v>059º50′00″ W</v>
      </c>
      <c r="T40" s="5" t="str">
        <f t="shared" si="4"/>
        <v>02º25.00′S</v>
      </c>
      <c r="U40" s="5" t="str">
        <f t="shared" si="5"/>
        <v>059º50.00′W</v>
      </c>
    </row>
    <row r="41" spans="1:21" x14ac:dyDescent="0.2">
      <c r="A41" s="5">
        <v>56</v>
      </c>
      <c r="B41" s="11" t="s">
        <v>836</v>
      </c>
      <c r="C41" s="9" t="s">
        <v>283</v>
      </c>
      <c r="D41" s="9" t="s">
        <v>387</v>
      </c>
      <c r="E41" s="9" t="s">
        <v>388</v>
      </c>
      <c r="F41" s="5">
        <v>13</v>
      </c>
      <c r="G41" s="5">
        <v>46</v>
      </c>
      <c r="H41" s="5">
        <v>0</v>
      </c>
      <c r="I41" s="5" t="s">
        <v>131</v>
      </c>
      <c r="J41" s="5">
        <v>42</v>
      </c>
      <c r="K41" s="5">
        <v>42</v>
      </c>
      <c r="L41" s="5">
        <v>0</v>
      </c>
      <c r="M41" s="5" t="s">
        <v>138</v>
      </c>
      <c r="N41" s="37" t="s">
        <v>1195</v>
      </c>
      <c r="O41" t="s">
        <v>107</v>
      </c>
      <c r="P41" s="7">
        <f t="shared" si="0"/>
        <v>-13.766666666666667</v>
      </c>
      <c r="Q41" s="7">
        <f t="shared" si="1"/>
        <v>-42.7</v>
      </c>
      <c r="R41" s="7" t="str">
        <f t="shared" si="2"/>
        <v>13º46′00″ S</v>
      </c>
      <c r="S41" s="5" t="str">
        <f t="shared" si="3"/>
        <v>042º42′00″ W</v>
      </c>
      <c r="T41" s="5" t="str">
        <f t="shared" si="4"/>
        <v>13º46.00′S</v>
      </c>
      <c r="U41" s="5" t="str">
        <f t="shared" si="5"/>
        <v>042º42.00′W</v>
      </c>
    </row>
    <row r="42" spans="1:21" x14ac:dyDescent="0.2">
      <c r="A42" s="5">
        <v>153</v>
      </c>
      <c r="B42" s="11" t="s">
        <v>836</v>
      </c>
      <c r="C42" s="9" t="s">
        <v>283</v>
      </c>
      <c r="D42" s="9" t="s">
        <v>672</v>
      </c>
      <c r="E42" s="9" t="s">
        <v>673</v>
      </c>
      <c r="F42" s="12">
        <v>3</v>
      </c>
      <c r="G42" s="12">
        <v>44</v>
      </c>
      <c r="H42" s="12">
        <v>0</v>
      </c>
      <c r="I42" s="12" t="s">
        <v>131</v>
      </c>
      <c r="J42" s="12">
        <v>38</v>
      </c>
      <c r="K42" s="12">
        <v>33</v>
      </c>
      <c r="L42" s="12">
        <v>0</v>
      </c>
      <c r="M42" s="12" t="s">
        <v>138</v>
      </c>
      <c r="N42" s="38" t="s">
        <v>1169</v>
      </c>
      <c r="O42" t="s">
        <v>107</v>
      </c>
      <c r="P42" s="7">
        <f t="shared" si="0"/>
        <v>-3.7333333333333334</v>
      </c>
      <c r="Q42" s="7">
        <f t="shared" si="1"/>
        <v>-38.549999999999997</v>
      </c>
      <c r="R42" s="7" t="str">
        <f t="shared" si="2"/>
        <v>03º44′00″ S</v>
      </c>
      <c r="S42" s="5" t="str">
        <f t="shared" si="3"/>
        <v>038º33′00″ W</v>
      </c>
      <c r="T42" s="5" t="str">
        <f t="shared" si="4"/>
        <v>03º44.00′S</v>
      </c>
      <c r="U42" s="5" t="str">
        <f t="shared" si="5"/>
        <v>038º33.00′W</v>
      </c>
    </row>
    <row r="43" spans="1:21" ht="12" x14ac:dyDescent="0.2">
      <c r="A43" s="5">
        <v>115</v>
      </c>
      <c r="B43" s="11" t="s">
        <v>836</v>
      </c>
      <c r="C43" s="9" t="s">
        <v>283</v>
      </c>
      <c r="D43" s="9" t="s">
        <v>574</v>
      </c>
      <c r="E43" s="9" t="s">
        <v>575</v>
      </c>
      <c r="F43" s="25">
        <v>15</v>
      </c>
      <c r="G43" s="25">
        <v>32</v>
      </c>
      <c r="H43" s="25">
        <v>35</v>
      </c>
      <c r="I43" s="25" t="s">
        <v>131</v>
      </c>
      <c r="J43" s="25">
        <v>47</v>
      </c>
      <c r="K43" s="25">
        <v>34</v>
      </c>
      <c r="L43" s="25">
        <v>42</v>
      </c>
      <c r="M43" s="25" t="s">
        <v>138</v>
      </c>
      <c r="N43" s="37" t="s">
        <v>1199</v>
      </c>
      <c r="O43" t="s">
        <v>107</v>
      </c>
      <c r="P43" s="7">
        <f t="shared" si="0"/>
        <v>-15.543055555555556</v>
      </c>
      <c r="Q43" s="7">
        <f t="shared" si="1"/>
        <v>-47.578333333333333</v>
      </c>
      <c r="R43" s="7" t="str">
        <f t="shared" si="2"/>
        <v>15º32′35″ S</v>
      </c>
      <c r="S43" s="5" t="str">
        <f t="shared" si="3"/>
        <v>047º34′42″ W</v>
      </c>
      <c r="T43" s="5" t="str">
        <f t="shared" si="4"/>
        <v>15º32.58′S</v>
      </c>
      <c r="U43" s="5" t="str">
        <f t="shared" si="5"/>
        <v>047º34.70′W</v>
      </c>
    </row>
    <row r="44" spans="1:21" x14ac:dyDescent="0.2">
      <c r="A44" s="5">
        <v>212</v>
      </c>
      <c r="B44" s="11" t="s">
        <v>836</v>
      </c>
      <c r="C44" s="8" t="s">
        <v>283</v>
      </c>
      <c r="D44" t="s">
        <v>332</v>
      </c>
      <c r="E44" t="s">
        <v>850</v>
      </c>
      <c r="F44" s="5">
        <v>19</v>
      </c>
      <c r="G44" s="5">
        <v>58</v>
      </c>
      <c r="H44" s="5">
        <v>15.2</v>
      </c>
      <c r="I44" s="5" t="s">
        <v>131</v>
      </c>
      <c r="J44" s="5">
        <v>40</v>
      </c>
      <c r="K44" s="5">
        <v>8</v>
      </c>
      <c r="L44" s="5">
        <v>25.2</v>
      </c>
      <c r="M44" s="5" t="s">
        <v>138</v>
      </c>
      <c r="N44" s="45" t="s">
        <v>334</v>
      </c>
      <c r="O44" t="s">
        <v>107</v>
      </c>
      <c r="P44" s="7">
        <f t="shared" si="0"/>
        <v>-19.970888888888886</v>
      </c>
      <c r="Q44" s="7">
        <f t="shared" si="1"/>
        <v>-40.140333333333331</v>
      </c>
      <c r="R44" s="7" t="str">
        <f t="shared" si="2"/>
        <v>19º58′15″ S</v>
      </c>
      <c r="S44" s="5" t="str">
        <f t="shared" si="3"/>
        <v>040º08′25″ W</v>
      </c>
      <c r="T44" s="5" t="str">
        <f t="shared" si="4"/>
        <v>19º58.25′S</v>
      </c>
      <c r="U44" s="5" t="str">
        <f t="shared" si="5"/>
        <v>040º08.42′W</v>
      </c>
    </row>
    <row r="45" spans="1:21" x14ac:dyDescent="0.2">
      <c r="A45" s="5">
        <v>41</v>
      </c>
      <c r="B45" s="11" t="s">
        <v>836</v>
      </c>
      <c r="C45" s="9" t="s">
        <v>283</v>
      </c>
      <c r="D45" s="9" t="s">
        <v>332</v>
      </c>
      <c r="E45" s="9" t="s">
        <v>333</v>
      </c>
      <c r="F45" s="5">
        <v>19</v>
      </c>
      <c r="G45" s="5">
        <v>41</v>
      </c>
      <c r="H45" s="5">
        <v>35</v>
      </c>
      <c r="I45" s="5" t="s">
        <v>131</v>
      </c>
      <c r="J45" s="5">
        <v>40</v>
      </c>
      <c r="K45" s="5">
        <v>22</v>
      </c>
      <c r="L45" s="5">
        <v>17</v>
      </c>
      <c r="M45" s="5" t="s">
        <v>138</v>
      </c>
      <c r="N45" s="46" t="s">
        <v>1230</v>
      </c>
      <c r="O45" t="s">
        <v>107</v>
      </c>
      <c r="P45" s="7">
        <f t="shared" si="0"/>
        <v>-19.693055555555556</v>
      </c>
      <c r="Q45" s="7">
        <f t="shared" si="1"/>
        <v>-40.371388888888887</v>
      </c>
      <c r="R45" s="7" t="str">
        <f t="shared" si="2"/>
        <v>19º41′35″ S</v>
      </c>
      <c r="S45" s="5" t="str">
        <f t="shared" si="3"/>
        <v>040º22′17″ W</v>
      </c>
      <c r="T45" s="5" t="str">
        <f t="shared" si="4"/>
        <v>19º41.58′S</v>
      </c>
      <c r="U45" s="5" t="str">
        <f t="shared" si="5"/>
        <v>040º22.28′W</v>
      </c>
    </row>
    <row r="46" spans="1:21" x14ac:dyDescent="0.2">
      <c r="A46" s="5">
        <v>217</v>
      </c>
      <c r="B46" s="11" t="s">
        <v>836</v>
      </c>
      <c r="C46" s="9" t="s">
        <v>283</v>
      </c>
      <c r="D46" s="9" t="s">
        <v>945</v>
      </c>
      <c r="E46" s="9" t="s">
        <v>946</v>
      </c>
      <c r="F46" s="5">
        <v>5</v>
      </c>
      <c r="G46" s="5">
        <v>31</v>
      </c>
      <c r="H46" s="5">
        <v>47</v>
      </c>
      <c r="I46" s="5" t="s">
        <v>131</v>
      </c>
      <c r="J46" s="5">
        <v>47</v>
      </c>
      <c r="K46" s="5">
        <v>29</v>
      </c>
      <c r="L46" s="5">
        <v>28</v>
      </c>
      <c r="M46" s="5" t="s">
        <v>138</v>
      </c>
      <c r="N46" s="36" t="s">
        <v>1204</v>
      </c>
      <c r="O46" t="s">
        <v>107</v>
      </c>
      <c r="P46" s="7">
        <f t="shared" si="0"/>
        <v>-5.5297222222222224</v>
      </c>
      <c r="Q46" s="7">
        <f t="shared" si="1"/>
        <v>-47.49111111111111</v>
      </c>
      <c r="R46" s="7" t="str">
        <f t="shared" si="2"/>
        <v>05º31′47″ S</v>
      </c>
      <c r="S46" s="5" t="str">
        <f t="shared" si="3"/>
        <v>047º29′28″ W</v>
      </c>
      <c r="T46" s="5" t="str">
        <f t="shared" si="4"/>
        <v>05º31.78′S</v>
      </c>
      <c r="U46" s="5" t="str">
        <f t="shared" si="5"/>
        <v>047º29.47′W</v>
      </c>
    </row>
    <row r="47" spans="1:21" x14ac:dyDescent="0.2">
      <c r="A47" s="5">
        <v>26</v>
      </c>
      <c r="B47" s="11" t="s">
        <v>836</v>
      </c>
      <c r="C47" s="9" t="s">
        <v>283</v>
      </c>
      <c r="D47" s="9" t="s">
        <v>284</v>
      </c>
      <c r="E47" s="9" t="s">
        <v>285</v>
      </c>
      <c r="F47" s="5">
        <v>16</v>
      </c>
      <c r="G47" s="5">
        <v>11</v>
      </c>
      <c r="H47" s="5">
        <v>0</v>
      </c>
      <c r="I47" s="5" t="s">
        <v>131</v>
      </c>
      <c r="J47" s="5">
        <v>40</v>
      </c>
      <c r="K47" s="5">
        <v>42</v>
      </c>
      <c r="L47" s="5">
        <v>0</v>
      </c>
      <c r="M47" s="5" t="s">
        <v>138</v>
      </c>
      <c r="N47" s="45" t="s">
        <v>163</v>
      </c>
      <c r="O47" t="s">
        <v>107</v>
      </c>
      <c r="P47" s="7">
        <f t="shared" si="0"/>
        <v>-16.183333333333334</v>
      </c>
      <c r="Q47" s="7">
        <f t="shared" si="1"/>
        <v>-40.700000000000003</v>
      </c>
      <c r="R47" s="7" t="str">
        <f t="shared" si="2"/>
        <v>16º11′00″ S</v>
      </c>
      <c r="S47" s="5" t="str">
        <f t="shared" si="3"/>
        <v>040º42′00″ W</v>
      </c>
      <c r="T47" s="5" t="str">
        <f t="shared" si="4"/>
        <v>16º11.00′S</v>
      </c>
      <c r="U47" s="5" t="str">
        <f t="shared" si="5"/>
        <v>040º42.00′W</v>
      </c>
    </row>
    <row r="48" spans="1:21" x14ac:dyDescent="0.2">
      <c r="A48" s="5">
        <v>210</v>
      </c>
      <c r="B48" s="11" t="s">
        <v>836</v>
      </c>
      <c r="C48" t="s">
        <v>283</v>
      </c>
      <c r="D48" t="s">
        <v>847</v>
      </c>
      <c r="E48" t="s">
        <v>848</v>
      </c>
      <c r="F48" s="5">
        <v>6</v>
      </c>
      <c r="G48" s="5">
        <v>6</v>
      </c>
      <c r="H48" s="5">
        <v>19.22</v>
      </c>
      <c r="I48" s="5" t="s">
        <v>131</v>
      </c>
      <c r="J48" s="5">
        <v>50</v>
      </c>
      <c r="K48" s="5">
        <v>9</v>
      </c>
      <c r="L48" s="5">
        <v>5.96</v>
      </c>
      <c r="M48" s="5" t="s">
        <v>138</v>
      </c>
      <c r="N48" s="37" t="s">
        <v>1183</v>
      </c>
      <c r="O48" t="s">
        <v>107</v>
      </c>
      <c r="P48" s="7">
        <f t="shared" si="0"/>
        <v>-6.1053388888888884</v>
      </c>
      <c r="Q48" s="7">
        <f t="shared" si="1"/>
        <v>-50.151655555555557</v>
      </c>
      <c r="R48" s="7" t="str">
        <f t="shared" si="2"/>
        <v>06º06′19″ S</v>
      </c>
      <c r="S48" s="5" t="str">
        <f t="shared" si="3"/>
        <v>050º09′06″ W</v>
      </c>
      <c r="T48" s="5" t="str">
        <f t="shared" si="4"/>
        <v>06º06.32′S</v>
      </c>
      <c r="U48" s="5" t="str">
        <f t="shared" si="5"/>
        <v>050º09.10′W</v>
      </c>
    </row>
    <row r="49" spans="1:21" x14ac:dyDescent="0.2">
      <c r="A49" s="5">
        <v>211</v>
      </c>
      <c r="B49" s="11" t="s">
        <v>836</v>
      </c>
      <c r="C49" t="s">
        <v>283</v>
      </c>
      <c r="D49" t="s">
        <v>847</v>
      </c>
      <c r="E49" t="s">
        <v>849</v>
      </c>
      <c r="F49" s="5">
        <v>6</v>
      </c>
      <c r="G49" s="5">
        <v>24</v>
      </c>
      <c r="H49" s="5">
        <v>6.42</v>
      </c>
      <c r="I49" s="5" t="s">
        <v>131</v>
      </c>
      <c r="J49" s="5">
        <v>50</v>
      </c>
      <c r="K49" s="5">
        <v>21</v>
      </c>
      <c r="L49" s="5">
        <v>6.09</v>
      </c>
      <c r="M49" s="5" t="s">
        <v>138</v>
      </c>
      <c r="N49" s="37" t="s">
        <v>1183</v>
      </c>
      <c r="O49" t="s">
        <v>107</v>
      </c>
      <c r="P49" s="7">
        <f t="shared" si="0"/>
        <v>-6.4017833333333334</v>
      </c>
      <c r="Q49" s="7">
        <f t="shared" si="1"/>
        <v>-50.351691666666667</v>
      </c>
      <c r="R49" s="7" t="str">
        <f t="shared" si="2"/>
        <v>06º24′06″ S</v>
      </c>
      <c r="S49" s="5" t="str">
        <f t="shared" si="3"/>
        <v>050º21′06″ W</v>
      </c>
      <c r="T49" s="5" t="str">
        <f t="shared" si="4"/>
        <v>06º24.11′S</v>
      </c>
      <c r="U49" s="5" t="str">
        <f t="shared" si="5"/>
        <v>050º21.10′W</v>
      </c>
    </row>
    <row r="50" spans="1:21" x14ac:dyDescent="0.2">
      <c r="A50" s="5">
        <v>27</v>
      </c>
      <c r="B50" s="11" t="s">
        <v>836</v>
      </c>
      <c r="C50" s="9" t="s">
        <v>283</v>
      </c>
      <c r="D50" t="s">
        <v>287</v>
      </c>
      <c r="E50" t="s">
        <v>288</v>
      </c>
      <c r="F50" s="5">
        <v>24</v>
      </c>
      <c r="G50" s="5">
        <v>48</v>
      </c>
      <c r="H50" s="5">
        <v>0</v>
      </c>
      <c r="I50" s="5" t="s">
        <v>131</v>
      </c>
      <c r="J50" s="5">
        <v>50</v>
      </c>
      <c r="K50" s="5">
        <v>0</v>
      </c>
      <c r="L50" s="5">
        <v>0</v>
      </c>
      <c r="M50" s="5" t="s">
        <v>138</v>
      </c>
      <c r="N50" s="36" t="s">
        <v>1169</v>
      </c>
      <c r="O50" t="s">
        <v>107</v>
      </c>
      <c r="P50" s="7">
        <f t="shared" si="0"/>
        <v>-24.8</v>
      </c>
      <c r="Q50" s="7">
        <f t="shared" si="1"/>
        <v>-50</v>
      </c>
      <c r="R50" s="7" t="str">
        <f t="shared" si="2"/>
        <v>24º48′00″ S</v>
      </c>
      <c r="S50" s="5" t="str">
        <f t="shared" si="3"/>
        <v>050º00′00″ W</v>
      </c>
      <c r="T50" s="5" t="str">
        <f t="shared" si="4"/>
        <v>24º48.00′S</v>
      </c>
      <c r="U50" s="5" t="str">
        <f t="shared" si="5"/>
        <v>050º00.00′W</v>
      </c>
    </row>
    <row r="51" spans="1:21" x14ac:dyDescent="0.2">
      <c r="A51" s="5">
        <v>109</v>
      </c>
      <c r="B51" s="11" t="s">
        <v>836</v>
      </c>
      <c r="C51" s="9" t="s">
        <v>283</v>
      </c>
      <c r="D51" s="9" t="s">
        <v>287</v>
      </c>
      <c r="E51" s="9" t="s">
        <v>556</v>
      </c>
      <c r="F51" s="5">
        <v>26</v>
      </c>
      <c r="G51" s="5">
        <v>34</v>
      </c>
      <c r="H51" s="5">
        <v>59</v>
      </c>
      <c r="I51" s="5" t="s">
        <v>131</v>
      </c>
      <c r="J51" s="5">
        <v>51</v>
      </c>
      <c r="K51" s="5">
        <v>36</v>
      </c>
      <c r="L51" s="5">
        <v>16</v>
      </c>
      <c r="M51" s="5" t="s">
        <v>138</v>
      </c>
      <c r="N51" s="39" t="s">
        <v>1231</v>
      </c>
      <c r="O51" t="s">
        <v>107</v>
      </c>
      <c r="P51" s="7">
        <f t="shared" si="0"/>
        <v>-26.583055555555557</v>
      </c>
      <c r="Q51" s="7">
        <f t="shared" si="1"/>
        <v>-51.604444444444447</v>
      </c>
      <c r="R51" s="7" t="str">
        <f t="shared" si="2"/>
        <v>26º34′59″ S</v>
      </c>
      <c r="S51" s="5" t="str">
        <f t="shared" si="3"/>
        <v>051º36′16″ W</v>
      </c>
      <c r="T51" s="5" t="str">
        <f t="shared" si="4"/>
        <v>26º34.98′S</v>
      </c>
      <c r="U51" s="5" t="str">
        <f t="shared" si="5"/>
        <v>051º36.27′W</v>
      </c>
    </row>
    <row r="52" spans="1:21" x14ac:dyDescent="0.2">
      <c r="A52" s="5">
        <v>29</v>
      </c>
      <c r="B52" s="11" t="s">
        <v>836</v>
      </c>
      <c r="C52" s="9" t="s">
        <v>283</v>
      </c>
      <c r="D52" t="s">
        <v>291</v>
      </c>
      <c r="E52" t="s">
        <v>292</v>
      </c>
      <c r="F52" s="5">
        <v>5</v>
      </c>
      <c r="G52" s="5">
        <v>30</v>
      </c>
      <c r="H52" s="5">
        <v>0</v>
      </c>
      <c r="I52" s="5" t="s">
        <v>131</v>
      </c>
      <c r="J52" s="5">
        <v>41</v>
      </c>
      <c r="K52" s="5">
        <v>19</v>
      </c>
      <c r="L52" s="5">
        <v>0</v>
      </c>
      <c r="M52" s="5" t="s">
        <v>138</v>
      </c>
      <c r="N52" s="36" t="s">
        <v>1169</v>
      </c>
      <c r="O52" t="s">
        <v>107</v>
      </c>
      <c r="P52" s="7">
        <f t="shared" si="0"/>
        <v>-5.5</v>
      </c>
      <c r="Q52" s="7">
        <f t="shared" si="1"/>
        <v>-41.31666666666667</v>
      </c>
      <c r="R52" s="7" t="str">
        <f t="shared" si="2"/>
        <v>05º30′00″ S</v>
      </c>
      <c r="S52" s="5" t="str">
        <f t="shared" si="3"/>
        <v>041º19′00″ W</v>
      </c>
      <c r="T52" s="5" t="str">
        <f t="shared" si="4"/>
        <v>05º30.00′S</v>
      </c>
      <c r="U52" s="5" t="str">
        <f t="shared" si="5"/>
        <v>041º19.00′W</v>
      </c>
    </row>
    <row r="53" spans="1:21" x14ac:dyDescent="0.2">
      <c r="A53" s="5">
        <v>30</v>
      </c>
      <c r="B53" s="11" t="s">
        <v>836</v>
      </c>
      <c r="C53" s="9" t="s">
        <v>283</v>
      </c>
      <c r="D53" t="s">
        <v>291</v>
      </c>
      <c r="E53" t="s">
        <v>293</v>
      </c>
      <c r="F53" s="5">
        <v>7</v>
      </c>
      <c r="G53" s="5">
        <v>15</v>
      </c>
      <c r="H53" s="5">
        <v>0</v>
      </c>
      <c r="I53" s="5" t="s">
        <v>131</v>
      </c>
      <c r="J53" s="5">
        <v>44</v>
      </c>
      <c r="K53" s="5">
        <v>33</v>
      </c>
      <c r="L53" s="5">
        <v>0</v>
      </c>
      <c r="M53" s="5" t="s">
        <v>138</v>
      </c>
      <c r="N53" s="36" t="s">
        <v>1169</v>
      </c>
      <c r="O53" t="s">
        <v>107</v>
      </c>
      <c r="P53" s="7">
        <f t="shared" si="0"/>
        <v>-7.25</v>
      </c>
      <c r="Q53" s="7">
        <f t="shared" si="1"/>
        <v>-44.55</v>
      </c>
      <c r="R53" s="7" t="str">
        <f t="shared" si="2"/>
        <v>07º15′00″ S</v>
      </c>
      <c r="S53" s="5" t="str">
        <f t="shared" si="3"/>
        <v>044º33′00″ W</v>
      </c>
      <c r="T53" s="5" t="str">
        <f t="shared" si="4"/>
        <v>07º15.00′S</v>
      </c>
      <c r="U53" s="5" t="str">
        <f t="shared" si="5"/>
        <v>044º33.00′W</v>
      </c>
    </row>
    <row r="54" spans="1:21" x14ac:dyDescent="0.2">
      <c r="A54" s="5">
        <v>143</v>
      </c>
      <c r="B54" s="11" t="s">
        <v>836</v>
      </c>
      <c r="C54" s="9" t="s">
        <v>283</v>
      </c>
      <c r="D54" s="9" t="s">
        <v>646</v>
      </c>
      <c r="E54" s="9" t="s">
        <v>647</v>
      </c>
      <c r="F54" s="5">
        <v>22</v>
      </c>
      <c r="G54" s="5">
        <v>25</v>
      </c>
      <c r="H54" s="5">
        <v>53</v>
      </c>
      <c r="I54" s="5" t="s">
        <v>131</v>
      </c>
      <c r="J54" s="5">
        <v>42</v>
      </c>
      <c r="K54" s="5">
        <v>45</v>
      </c>
      <c r="L54" s="5">
        <v>20</v>
      </c>
      <c r="M54" s="5" t="s">
        <v>138</v>
      </c>
      <c r="N54" s="37" t="s">
        <v>1232</v>
      </c>
      <c r="O54" t="s">
        <v>107</v>
      </c>
      <c r="P54" s="7">
        <f t="shared" si="0"/>
        <v>-22.43138888888889</v>
      </c>
      <c r="Q54" s="7">
        <f t="shared" si="1"/>
        <v>-42.755555555555553</v>
      </c>
      <c r="R54" s="7" t="str">
        <f t="shared" si="2"/>
        <v>22º25′53″ S</v>
      </c>
      <c r="S54" s="5" t="str">
        <f t="shared" si="3"/>
        <v>042º45′20″ W</v>
      </c>
      <c r="T54" s="5" t="str">
        <f t="shared" si="4"/>
        <v>22º25.88′S</v>
      </c>
      <c r="U54" s="5" t="str">
        <f t="shared" si="5"/>
        <v>042º45.33′W</v>
      </c>
    </row>
    <row r="55" spans="1:21" x14ac:dyDescent="0.2">
      <c r="A55" s="5">
        <v>144</v>
      </c>
      <c r="B55" s="11" t="s">
        <v>836</v>
      </c>
      <c r="C55" s="9" t="s">
        <v>283</v>
      </c>
      <c r="D55" s="9" t="s">
        <v>646</v>
      </c>
      <c r="E55" s="9" t="s">
        <v>648</v>
      </c>
      <c r="F55" s="5">
        <v>22</v>
      </c>
      <c r="G55" s="5">
        <v>47</v>
      </c>
      <c r="H55" s="5">
        <v>24</v>
      </c>
      <c r="I55" s="5" t="s">
        <v>131</v>
      </c>
      <c r="J55" s="5">
        <v>43</v>
      </c>
      <c r="K55" s="5">
        <v>28</v>
      </c>
      <c r="L55" s="5">
        <v>12</v>
      </c>
      <c r="M55" s="5" t="s">
        <v>138</v>
      </c>
      <c r="N55" s="37" t="s">
        <v>1232</v>
      </c>
      <c r="O55" t="s">
        <v>107</v>
      </c>
      <c r="P55" s="7">
        <f t="shared" si="0"/>
        <v>-22.790000000000003</v>
      </c>
      <c r="Q55" s="7">
        <f t="shared" si="1"/>
        <v>-43.47</v>
      </c>
      <c r="R55" s="7" t="str">
        <f t="shared" si="2"/>
        <v>22º47′24″ S</v>
      </c>
      <c r="S55" s="5" t="str">
        <f t="shared" si="3"/>
        <v>043º28′12″ W</v>
      </c>
      <c r="T55" s="5" t="str">
        <f t="shared" si="4"/>
        <v>22º47.40′S</v>
      </c>
      <c r="U55" s="5" t="str">
        <f t="shared" si="5"/>
        <v>043º28.20′W</v>
      </c>
    </row>
    <row r="56" spans="1:21" x14ac:dyDescent="0.2">
      <c r="A56" s="5">
        <v>155</v>
      </c>
      <c r="B56" s="11" t="s">
        <v>836</v>
      </c>
      <c r="C56" s="9" t="s">
        <v>283</v>
      </c>
      <c r="D56" s="9" t="s">
        <v>480</v>
      </c>
      <c r="E56" s="9" t="s">
        <v>677</v>
      </c>
      <c r="F56" s="5">
        <v>33</v>
      </c>
      <c r="G56" s="5">
        <v>31</v>
      </c>
      <c r="H56" s="5">
        <v>33</v>
      </c>
      <c r="I56" s="5" t="s">
        <v>131</v>
      </c>
      <c r="J56" s="5">
        <v>53</v>
      </c>
      <c r="K56" s="5">
        <v>22</v>
      </c>
      <c r="L56" s="5">
        <v>19</v>
      </c>
      <c r="M56" s="5" t="s">
        <v>138</v>
      </c>
      <c r="N56" s="45" t="s">
        <v>163</v>
      </c>
      <c r="O56" t="s">
        <v>107</v>
      </c>
      <c r="P56" s="7">
        <f t="shared" si="0"/>
        <v>-33.525833333333331</v>
      </c>
      <c r="Q56" s="7">
        <f t="shared" si="1"/>
        <v>-53.371944444444445</v>
      </c>
      <c r="R56" s="7" t="str">
        <f t="shared" si="2"/>
        <v>33º31′33″ S</v>
      </c>
      <c r="S56" s="5" t="str">
        <f t="shared" si="3"/>
        <v>053º22′19″ W</v>
      </c>
      <c r="T56" s="5" t="str">
        <f t="shared" si="4"/>
        <v>33º31.55′S</v>
      </c>
      <c r="U56" s="5" t="str">
        <f t="shared" si="5"/>
        <v>053º22.32′W</v>
      </c>
    </row>
    <row r="57" spans="1:21" x14ac:dyDescent="0.2">
      <c r="A57" s="5">
        <v>81</v>
      </c>
      <c r="B57" s="11" t="s">
        <v>836</v>
      </c>
      <c r="C57" s="9" t="s">
        <v>283</v>
      </c>
      <c r="D57" s="9" t="s">
        <v>480</v>
      </c>
      <c r="E57" s="9" t="s">
        <v>481</v>
      </c>
      <c r="F57" s="5">
        <v>29</v>
      </c>
      <c r="G57" s="5">
        <v>33</v>
      </c>
      <c r="H57" s="5">
        <v>33.1</v>
      </c>
      <c r="I57" s="5" t="s">
        <v>131</v>
      </c>
      <c r="J57" s="5">
        <v>52</v>
      </c>
      <c r="K57" s="5">
        <v>38</v>
      </c>
      <c r="L57" s="5">
        <v>16.2</v>
      </c>
      <c r="M57" s="5" t="s">
        <v>138</v>
      </c>
      <c r="N57" s="39" t="s">
        <v>1205</v>
      </c>
      <c r="O57" t="s">
        <v>107</v>
      </c>
      <c r="P57" s="7">
        <f t="shared" si="0"/>
        <v>-29.559194444444444</v>
      </c>
      <c r="Q57" s="7">
        <f t="shared" si="1"/>
        <v>-52.637833333333333</v>
      </c>
      <c r="R57" s="7" t="str">
        <f t="shared" si="2"/>
        <v>29º33′33″ S</v>
      </c>
      <c r="S57" s="5" t="str">
        <f t="shared" si="3"/>
        <v>052º38′16″ W</v>
      </c>
      <c r="T57" s="5" t="str">
        <f t="shared" si="4"/>
        <v>29º33.55′S</v>
      </c>
      <c r="U57" s="5" t="str">
        <f t="shared" si="5"/>
        <v>052º38.27′W</v>
      </c>
    </row>
    <row r="58" spans="1:21" x14ac:dyDescent="0.2">
      <c r="A58" s="5">
        <v>182</v>
      </c>
      <c r="B58" s="11" t="s">
        <v>836</v>
      </c>
      <c r="C58" s="9" t="s">
        <v>283</v>
      </c>
      <c r="D58" s="9" t="s">
        <v>758</v>
      </c>
      <c r="E58" s="9" t="s">
        <v>759</v>
      </c>
      <c r="F58" s="5">
        <v>9</v>
      </c>
      <c r="G58" s="5">
        <v>22</v>
      </c>
      <c r="H58" s="5">
        <v>35</v>
      </c>
      <c r="I58" s="5" t="s">
        <v>131</v>
      </c>
      <c r="J58" s="5">
        <v>64</v>
      </c>
      <c r="K58" s="5">
        <v>40</v>
      </c>
      <c r="L58" s="5">
        <v>37</v>
      </c>
      <c r="M58" s="5" t="s">
        <v>138</v>
      </c>
      <c r="N58" s="38" t="s">
        <v>1196</v>
      </c>
      <c r="O58" t="s">
        <v>107</v>
      </c>
      <c r="P58" s="7">
        <f t="shared" si="0"/>
        <v>-9.37638888888889</v>
      </c>
      <c r="Q58" s="7">
        <f t="shared" si="1"/>
        <v>-64.676944444444445</v>
      </c>
      <c r="R58" s="7" t="str">
        <f t="shared" si="2"/>
        <v>09º22′35″ S</v>
      </c>
      <c r="S58" s="5" t="str">
        <f t="shared" si="3"/>
        <v>064º40′37″ W</v>
      </c>
      <c r="T58" s="5" t="str">
        <f t="shared" si="4"/>
        <v>09º22.58′S</v>
      </c>
      <c r="U58" s="5" t="str">
        <f t="shared" si="5"/>
        <v>064º40.62′W</v>
      </c>
    </row>
    <row r="59" spans="1:21" x14ac:dyDescent="0.2">
      <c r="A59" s="5">
        <v>216</v>
      </c>
      <c r="B59" s="11" t="s">
        <v>836</v>
      </c>
      <c r="C59" s="9" t="s">
        <v>283</v>
      </c>
      <c r="D59" s="9" t="s">
        <v>939</v>
      </c>
      <c r="E59" s="9" t="s">
        <v>940</v>
      </c>
      <c r="F59" s="5">
        <v>27</v>
      </c>
      <c r="G59" s="5">
        <v>9</v>
      </c>
      <c r="H59" s="5">
        <v>58.39</v>
      </c>
      <c r="I59" s="5" t="s">
        <v>131</v>
      </c>
      <c r="J59" s="5">
        <v>51</v>
      </c>
      <c r="K59" s="5">
        <v>28</v>
      </c>
      <c r="L59" s="5">
        <v>19.14</v>
      </c>
      <c r="M59" s="5" t="s">
        <v>138</v>
      </c>
      <c r="N59" s="36" t="s">
        <v>1233</v>
      </c>
      <c r="O59" t="s">
        <v>107</v>
      </c>
      <c r="P59" s="7">
        <f t="shared" si="0"/>
        <v>-27.166219444444444</v>
      </c>
      <c r="Q59" s="7">
        <f t="shared" si="1"/>
        <v>-51.471983333333334</v>
      </c>
      <c r="R59" s="7" t="str">
        <f t="shared" si="2"/>
        <v>27º09′58″ S</v>
      </c>
      <c r="S59" s="5" t="str">
        <f t="shared" si="3"/>
        <v>051º28′19″ W</v>
      </c>
      <c r="T59" s="5" t="str">
        <f t="shared" si="4"/>
        <v>27º09.97′S</v>
      </c>
      <c r="U59" s="5" t="str">
        <f t="shared" si="5"/>
        <v>051º28.32′W</v>
      </c>
    </row>
    <row r="60" spans="1:21" x14ac:dyDescent="0.2">
      <c r="A60" s="5">
        <v>28</v>
      </c>
      <c r="B60" s="11" t="s">
        <v>836</v>
      </c>
      <c r="C60" s="9" t="s">
        <v>283</v>
      </c>
      <c r="D60" s="9" t="s">
        <v>289</v>
      </c>
      <c r="E60" s="9" t="s">
        <v>290</v>
      </c>
      <c r="F60" s="5">
        <v>24</v>
      </c>
      <c r="G60" s="5">
        <v>31</v>
      </c>
      <c r="H60" s="5">
        <v>0</v>
      </c>
      <c r="I60" s="5" t="s">
        <v>131</v>
      </c>
      <c r="J60" s="5">
        <v>48</v>
      </c>
      <c r="K60" s="5">
        <v>51</v>
      </c>
      <c r="L60" s="5">
        <v>0</v>
      </c>
      <c r="M60" s="5" t="s">
        <v>138</v>
      </c>
      <c r="N60" s="36" t="s">
        <v>1169</v>
      </c>
      <c r="O60" t="s">
        <v>107</v>
      </c>
      <c r="P60" s="7">
        <f t="shared" si="0"/>
        <v>-24.516666666666666</v>
      </c>
      <c r="Q60" s="7">
        <f t="shared" si="1"/>
        <v>-48.85</v>
      </c>
      <c r="R60" s="7" t="str">
        <f t="shared" si="2"/>
        <v>24º31′00″ S</v>
      </c>
      <c r="S60" s="5" t="str">
        <f t="shared" si="3"/>
        <v>048º51′00″ W</v>
      </c>
      <c r="T60" s="5" t="str">
        <f t="shared" si="4"/>
        <v>24º31.00′S</v>
      </c>
      <c r="U60" s="5" t="str">
        <f t="shared" si="5"/>
        <v>048º51.00′W</v>
      </c>
    </row>
    <row r="61" spans="1:21" x14ac:dyDescent="0.2">
      <c r="A61" s="5">
        <v>141</v>
      </c>
      <c r="B61" s="11" t="s">
        <v>836</v>
      </c>
      <c r="C61" s="9" t="s">
        <v>283</v>
      </c>
      <c r="D61" s="9" t="s">
        <v>289</v>
      </c>
      <c r="E61" s="9" t="s">
        <v>642</v>
      </c>
      <c r="F61" s="5">
        <v>22</v>
      </c>
      <c r="G61" s="5">
        <v>54</v>
      </c>
      <c r="H61" s="5">
        <v>35</v>
      </c>
      <c r="I61" s="5" t="s">
        <v>131</v>
      </c>
      <c r="J61" s="5">
        <v>47</v>
      </c>
      <c r="K61" s="5">
        <v>3</v>
      </c>
      <c r="L61" s="5">
        <v>45</v>
      </c>
      <c r="M61" s="5" t="s">
        <v>138</v>
      </c>
      <c r="N61" s="45" t="s">
        <v>163</v>
      </c>
      <c r="O61" t="s">
        <v>107</v>
      </c>
      <c r="P61" s="7">
        <f t="shared" si="0"/>
        <v>-22.909722222222221</v>
      </c>
      <c r="Q61" s="7">
        <f t="shared" si="1"/>
        <v>-47.0625</v>
      </c>
      <c r="R61" s="7" t="str">
        <f t="shared" si="2"/>
        <v>22º54′35″ S</v>
      </c>
      <c r="S61" s="5" t="str">
        <f t="shared" si="3"/>
        <v>047º03′45″ W</v>
      </c>
      <c r="T61" s="5" t="str">
        <f t="shared" si="4"/>
        <v>22º54.58′S</v>
      </c>
      <c r="U61" s="5" t="str">
        <f t="shared" si="5"/>
        <v>047º03.75′W</v>
      </c>
    </row>
    <row r="62" spans="1:21" x14ac:dyDescent="0.2">
      <c r="A62" s="5">
        <v>55</v>
      </c>
      <c r="B62" s="11" t="s">
        <v>836</v>
      </c>
      <c r="C62" s="9" t="s">
        <v>283</v>
      </c>
      <c r="D62" s="9" t="s">
        <v>383</v>
      </c>
      <c r="E62" s="9" t="s">
        <v>384</v>
      </c>
      <c r="F62" s="5">
        <v>10</v>
      </c>
      <c r="G62" s="5">
        <v>49</v>
      </c>
      <c r="H62" s="5">
        <v>22</v>
      </c>
      <c r="I62" s="5" t="s">
        <v>131</v>
      </c>
      <c r="J62" s="5">
        <v>37</v>
      </c>
      <c r="K62" s="5">
        <v>10</v>
      </c>
      <c r="L62" s="5">
        <v>28</v>
      </c>
      <c r="M62" s="5" t="s">
        <v>138</v>
      </c>
      <c r="N62" s="39" t="s">
        <v>1234</v>
      </c>
      <c r="O62" t="s">
        <v>107</v>
      </c>
      <c r="P62" s="7">
        <f t="shared" si="0"/>
        <v>-10.822777777777777</v>
      </c>
      <c r="Q62" s="7">
        <f t="shared" si="1"/>
        <v>-37.17444444444444</v>
      </c>
      <c r="R62" s="7" t="str">
        <f t="shared" si="2"/>
        <v>10º49′22″ S</v>
      </c>
      <c r="S62" s="5" t="str">
        <f t="shared" si="3"/>
        <v>037º10′28″ W</v>
      </c>
      <c r="T62" s="5" t="str">
        <f t="shared" si="4"/>
        <v>10º49.37′S</v>
      </c>
      <c r="U62" s="5" t="str">
        <f t="shared" si="5"/>
        <v>037º10.47′W</v>
      </c>
    </row>
    <row r="63" spans="1:21" x14ac:dyDescent="0.2">
      <c r="A63" s="5">
        <v>218</v>
      </c>
      <c r="B63" s="11" t="s">
        <v>836</v>
      </c>
      <c r="C63" s="9" t="s">
        <v>283</v>
      </c>
      <c r="D63" s="9" t="s">
        <v>951</v>
      </c>
      <c r="E63" s="9" t="s">
        <v>952</v>
      </c>
      <c r="F63" s="5">
        <v>7</v>
      </c>
      <c r="G63" s="5">
        <v>45</v>
      </c>
      <c r="H63" s="5">
        <v>14</v>
      </c>
      <c r="I63" s="5" t="s">
        <v>131</v>
      </c>
      <c r="J63" s="5">
        <v>47</v>
      </c>
      <c r="K63" s="5">
        <v>50</v>
      </c>
      <c r="L63" s="5">
        <v>25</v>
      </c>
      <c r="M63" s="5" t="s">
        <v>138</v>
      </c>
      <c r="N63" s="36" t="s">
        <v>1191</v>
      </c>
      <c r="O63" t="s">
        <v>107</v>
      </c>
      <c r="P63" s="7">
        <f t="shared" si="0"/>
        <v>-7.7538888888888886</v>
      </c>
      <c r="Q63" s="7">
        <f t="shared" si="1"/>
        <v>-47.840277777777779</v>
      </c>
      <c r="R63" s="7" t="str">
        <f t="shared" si="2"/>
        <v>07º45′14″ S</v>
      </c>
      <c r="S63" s="5" t="str">
        <f t="shared" si="3"/>
        <v>047º50′25″ W</v>
      </c>
      <c r="T63" s="5" t="str">
        <f t="shared" si="4"/>
        <v>07º45.23′S</v>
      </c>
      <c r="U63" s="5" t="str">
        <f t="shared" si="5"/>
        <v>047º50.42′W</v>
      </c>
    </row>
    <row r="64" spans="1:21" x14ac:dyDescent="0.2">
      <c r="A64" s="5">
        <v>229</v>
      </c>
      <c r="B64" s="11" t="s">
        <v>836</v>
      </c>
      <c r="C64" s="9" t="s">
        <v>317</v>
      </c>
      <c r="D64" s="9" t="s">
        <v>107</v>
      </c>
      <c r="E64" s="9" t="s">
        <v>107</v>
      </c>
      <c r="F64" s="5" t="s">
        <v>107</v>
      </c>
      <c r="G64" s="5" t="s">
        <v>107</v>
      </c>
      <c r="H64" s="5" t="s">
        <v>107</v>
      </c>
      <c r="I64" s="5" t="s">
        <v>107</v>
      </c>
      <c r="J64" s="5" t="s">
        <v>107</v>
      </c>
      <c r="K64" s="5" t="s">
        <v>107</v>
      </c>
      <c r="L64" s="5" t="s">
        <v>107</v>
      </c>
      <c r="M64" s="5" t="s">
        <v>107</v>
      </c>
      <c r="N64" s="43" t="s">
        <v>107</v>
      </c>
      <c r="O64" t="s">
        <v>107</v>
      </c>
      <c r="P64" s="7" t="str">
        <f t="shared" si="0"/>
        <v>-</v>
      </c>
      <c r="Q64" s="7" t="str">
        <f t="shared" si="1"/>
        <v>-</v>
      </c>
      <c r="R64" s="7" t="str">
        <f t="shared" si="2"/>
        <v>-</v>
      </c>
      <c r="S64" s="5" t="str">
        <f t="shared" si="3"/>
        <v>-</v>
      </c>
      <c r="T64" s="5" t="str">
        <f t="shared" si="4"/>
        <v>-</v>
      </c>
      <c r="U64" s="5" t="str">
        <f t="shared" si="5"/>
        <v>-</v>
      </c>
    </row>
    <row r="65" spans="1:21" x14ac:dyDescent="0.2">
      <c r="A65" s="5">
        <v>35</v>
      </c>
      <c r="B65" s="11" t="s">
        <v>836</v>
      </c>
      <c r="C65" s="9" t="s">
        <v>317</v>
      </c>
      <c r="D65" s="9" t="s">
        <v>304</v>
      </c>
      <c r="E65" s="9" t="s">
        <v>318</v>
      </c>
      <c r="F65" s="5">
        <v>3</v>
      </c>
      <c r="G65" s="5">
        <v>47</v>
      </c>
      <c r="H65" s="5">
        <v>0</v>
      </c>
      <c r="I65" s="5" t="s">
        <v>131</v>
      </c>
      <c r="J65" s="5">
        <v>70</v>
      </c>
      <c r="K65" s="5">
        <v>21</v>
      </c>
      <c r="L65" s="5">
        <v>0</v>
      </c>
      <c r="M65" s="5" t="s">
        <v>138</v>
      </c>
      <c r="N65" s="39" t="s">
        <v>1235</v>
      </c>
      <c r="O65" t="s">
        <v>107</v>
      </c>
      <c r="P65" s="7">
        <f t="shared" si="0"/>
        <v>-3.7833333333333332</v>
      </c>
      <c r="Q65" s="7">
        <f t="shared" si="1"/>
        <v>-70.349999999999994</v>
      </c>
      <c r="R65" s="7" t="str">
        <f t="shared" si="2"/>
        <v>03º47′00″ S</v>
      </c>
      <c r="S65" s="5" t="str">
        <f t="shared" si="3"/>
        <v>070º21′00″ W</v>
      </c>
      <c r="T65" s="5" t="str">
        <f t="shared" si="4"/>
        <v>03º47.00′S</v>
      </c>
      <c r="U65" s="5" t="str">
        <f t="shared" si="5"/>
        <v>070º21.00′W</v>
      </c>
    </row>
    <row r="66" spans="1:21" x14ac:dyDescent="0.2">
      <c r="A66" s="5">
        <v>124</v>
      </c>
      <c r="B66" s="11" t="s">
        <v>836</v>
      </c>
      <c r="C66" s="9" t="s">
        <v>317</v>
      </c>
      <c r="D66" s="9" t="s">
        <v>607</v>
      </c>
      <c r="E66" s="9" t="s">
        <v>608</v>
      </c>
      <c r="F66" s="5">
        <v>5</v>
      </c>
      <c r="G66" s="5">
        <v>1</v>
      </c>
      <c r="H66" s="5">
        <v>0</v>
      </c>
      <c r="I66" s="5" t="s">
        <v>132</v>
      </c>
      <c r="J66" s="5">
        <v>75</v>
      </c>
      <c r="K66" s="5">
        <v>25</v>
      </c>
      <c r="L66" s="5">
        <v>0</v>
      </c>
      <c r="M66" s="5" t="s">
        <v>138</v>
      </c>
      <c r="N66" s="37" t="s">
        <v>1236</v>
      </c>
      <c r="O66" t="s">
        <v>107</v>
      </c>
      <c r="P66" s="7">
        <f t="shared" si="0"/>
        <v>5.0166666666666666</v>
      </c>
      <c r="Q66" s="7">
        <f t="shared" si="1"/>
        <v>-75.416666666666671</v>
      </c>
      <c r="R66" s="7" t="str">
        <f t="shared" si="2"/>
        <v>05º01′00″ N</v>
      </c>
      <c r="S66" s="5" t="str">
        <f t="shared" si="3"/>
        <v>075º25′00″ W</v>
      </c>
      <c r="T66" s="5" t="str">
        <f t="shared" si="4"/>
        <v>05º01.00′N</v>
      </c>
      <c r="U66" s="5" t="str">
        <f t="shared" si="5"/>
        <v>075º25.00′W</v>
      </c>
    </row>
    <row r="67" spans="1:21" x14ac:dyDescent="0.2">
      <c r="A67" s="5">
        <v>38</v>
      </c>
      <c r="B67" s="11" t="s">
        <v>836</v>
      </c>
      <c r="C67" s="9" t="s">
        <v>317</v>
      </c>
      <c r="D67" s="9" t="s">
        <v>324</v>
      </c>
      <c r="E67" s="9" t="s">
        <v>325</v>
      </c>
      <c r="F67" s="5">
        <v>1</v>
      </c>
      <c r="G67" s="5">
        <v>26</v>
      </c>
      <c r="H67" s="5">
        <v>52</v>
      </c>
      <c r="I67" s="5" t="s">
        <v>132</v>
      </c>
      <c r="J67" s="5">
        <v>75</v>
      </c>
      <c r="K67" s="5">
        <v>53</v>
      </c>
      <c r="L67" s="5">
        <v>39</v>
      </c>
      <c r="M67" s="5" t="s">
        <v>138</v>
      </c>
      <c r="N67" s="37" t="s">
        <v>1237</v>
      </c>
      <c r="O67" t="s">
        <v>107</v>
      </c>
      <c r="P67" s="7">
        <f t="shared" ref="P67:P130" si="6">IF(F67="-","-",IF(I67="N",((F67)+(G67/60)+(H67/3600)),((F67)+(G67/60)+(H67/3600))*(-1)))</f>
        <v>1.4477777777777778</v>
      </c>
      <c r="Q67" s="7">
        <f t="shared" ref="Q67:Q130" si="7">IF(F67="-","-",IF(M67="E",((J67)+(K67/60)+(L67/3600)),((J67)+(K67/60)+(L67/3600))*(-1)))</f>
        <v>-75.894166666666678</v>
      </c>
      <c r="R67" s="7" t="str">
        <f t="shared" si="2"/>
        <v>01º26′52″ N</v>
      </c>
      <c r="S67" s="5" t="str">
        <f t="shared" si="3"/>
        <v>075º53′39″ W</v>
      </c>
      <c r="T67" s="5" t="str">
        <f t="shared" si="4"/>
        <v>01º26.87′N</v>
      </c>
      <c r="U67" s="5" t="str">
        <f t="shared" si="5"/>
        <v>075º53.65′W</v>
      </c>
    </row>
    <row r="68" spans="1:21" x14ac:dyDescent="0.2">
      <c r="A68" s="5">
        <v>104</v>
      </c>
      <c r="B68" s="11" t="s">
        <v>836</v>
      </c>
      <c r="C68" s="9" t="s">
        <v>317</v>
      </c>
      <c r="D68" s="9" t="s">
        <v>324</v>
      </c>
      <c r="E68" s="9" t="s">
        <v>541</v>
      </c>
      <c r="F68" s="5">
        <v>1</v>
      </c>
      <c r="G68" s="5">
        <v>4</v>
      </c>
      <c r="H68" s="5">
        <v>24</v>
      </c>
      <c r="I68" s="5" t="s">
        <v>132</v>
      </c>
      <c r="J68" s="5">
        <v>75</v>
      </c>
      <c r="K68" s="5">
        <v>55</v>
      </c>
      <c r="L68" s="5">
        <v>5</v>
      </c>
      <c r="M68" s="5" t="s">
        <v>138</v>
      </c>
      <c r="N68" s="37" t="s">
        <v>1237</v>
      </c>
      <c r="O68" t="s">
        <v>107</v>
      </c>
      <c r="P68" s="7">
        <f t="shared" si="6"/>
        <v>1.0733333333333333</v>
      </c>
      <c r="Q68" s="7">
        <f t="shared" si="7"/>
        <v>-75.918055555555554</v>
      </c>
      <c r="R68" s="7" t="str">
        <f t="shared" ref="R68:R131" si="8">IF(P68="-","-",TEXT(F68,"00")&amp;"º"&amp;TEXT(G68,"00")&amp;"′"&amp;TEXT(H68,"00")&amp;"″ "&amp;I68)</f>
        <v>01º04′24″ N</v>
      </c>
      <c r="S68" s="5" t="str">
        <f t="shared" ref="S68:S131" si="9">IF(P68="-","-",TEXT(J68,"000")&amp;"º"&amp;TEXT(K68,"00")&amp;"′"&amp;TEXT(L68,"00")&amp;"″ "&amp;M68)</f>
        <v>075º55′05″ W</v>
      </c>
      <c r="T68" s="5" t="str">
        <f t="shared" ref="T68:T131" si="10">IF(P68="-","-",TEXT(F68,"00")&amp;"º"&amp;TEXT(G68,"00")&amp;"."&amp;TEXT(H68*100/60,"00")&amp;"′"&amp;I68)</f>
        <v>01º04.40′N</v>
      </c>
      <c r="U68" s="5" t="str">
        <f t="shared" ref="U68:U131" si="11">IF(P68="-","-",TEXT(J68,"000")&amp;"º"&amp;TEXT(K68,"00")&amp;"."&amp;TEXT(L68*100/60,"00")&amp;"′"&amp;M68)</f>
        <v>075º55.08′W</v>
      </c>
    </row>
    <row r="69" spans="1:21" x14ac:dyDescent="0.2">
      <c r="A69" s="5">
        <v>39</v>
      </c>
      <c r="B69" s="11" t="s">
        <v>836</v>
      </c>
      <c r="C69" s="9" t="s">
        <v>317</v>
      </c>
      <c r="D69" s="9" t="s">
        <v>324</v>
      </c>
      <c r="E69" s="9" t="s">
        <v>326</v>
      </c>
      <c r="F69" s="5">
        <v>1</v>
      </c>
      <c r="G69" s="5">
        <v>31</v>
      </c>
      <c r="H69" s="5">
        <v>13</v>
      </c>
      <c r="I69" s="5" t="s">
        <v>132</v>
      </c>
      <c r="J69" s="5">
        <v>75</v>
      </c>
      <c r="K69" s="5">
        <v>19</v>
      </c>
      <c r="L69" s="5">
        <v>4</v>
      </c>
      <c r="M69" s="5" t="s">
        <v>138</v>
      </c>
      <c r="N69" s="37" t="s">
        <v>1237</v>
      </c>
      <c r="O69" t="s">
        <v>107</v>
      </c>
      <c r="P69" s="7">
        <f t="shared" si="6"/>
        <v>1.5202777777777776</v>
      </c>
      <c r="Q69" s="7">
        <f t="shared" si="7"/>
        <v>-75.317777777777778</v>
      </c>
      <c r="R69" s="7" t="str">
        <f t="shared" si="8"/>
        <v>01º31′13″ N</v>
      </c>
      <c r="S69" s="5" t="str">
        <f t="shared" si="9"/>
        <v>075º19′04″ W</v>
      </c>
      <c r="T69" s="5" t="str">
        <f t="shared" si="10"/>
        <v>01º31.22′N</v>
      </c>
      <c r="U69" s="5" t="str">
        <f t="shared" si="11"/>
        <v>075º19.07′W</v>
      </c>
    </row>
    <row r="70" spans="1:21" x14ac:dyDescent="0.2">
      <c r="A70" s="5">
        <v>50</v>
      </c>
      <c r="B70" s="11" t="s">
        <v>836</v>
      </c>
      <c r="C70" s="9" t="s">
        <v>317</v>
      </c>
      <c r="D70" s="9" t="s">
        <v>324</v>
      </c>
      <c r="E70" s="9" t="s">
        <v>372</v>
      </c>
      <c r="F70" s="5">
        <v>1</v>
      </c>
      <c r="G70" s="5">
        <v>30</v>
      </c>
      <c r="H70" s="5">
        <v>0</v>
      </c>
      <c r="I70" s="5" t="s">
        <v>132</v>
      </c>
      <c r="J70" s="5">
        <v>75</v>
      </c>
      <c r="K70" s="5">
        <v>36</v>
      </c>
      <c r="L70" s="5">
        <v>0</v>
      </c>
      <c r="M70" s="5" t="s">
        <v>138</v>
      </c>
      <c r="N70" s="39" t="s">
        <v>1235</v>
      </c>
      <c r="O70" t="s">
        <v>107</v>
      </c>
      <c r="P70" s="7">
        <f t="shared" si="6"/>
        <v>1.5</v>
      </c>
      <c r="Q70" s="7">
        <f t="shared" si="7"/>
        <v>-75.599999999999994</v>
      </c>
      <c r="R70" s="7" t="str">
        <f t="shared" si="8"/>
        <v>01º30′00″ N</v>
      </c>
      <c r="S70" s="5" t="str">
        <f t="shared" si="9"/>
        <v>075º36′00″ W</v>
      </c>
      <c r="T70" s="5" t="str">
        <f t="shared" si="10"/>
        <v>01º30.00′N</v>
      </c>
      <c r="U70" s="5" t="str">
        <f t="shared" si="11"/>
        <v>075º36.00′W</v>
      </c>
    </row>
    <row r="71" spans="1:21" x14ac:dyDescent="0.2">
      <c r="A71" s="5">
        <v>40</v>
      </c>
      <c r="B71" s="11" t="s">
        <v>836</v>
      </c>
      <c r="C71" s="9" t="s">
        <v>317</v>
      </c>
      <c r="D71" s="9" t="s">
        <v>324</v>
      </c>
      <c r="E71" s="9" t="s">
        <v>327</v>
      </c>
      <c r="F71" s="5">
        <v>1</v>
      </c>
      <c r="G71" s="5">
        <v>21</v>
      </c>
      <c r="H71" s="5">
        <v>36</v>
      </c>
      <c r="I71" s="5" t="s">
        <v>132</v>
      </c>
      <c r="J71" s="5">
        <v>75</v>
      </c>
      <c r="K71" s="5">
        <v>58</v>
      </c>
      <c r="L71" s="5">
        <v>39</v>
      </c>
      <c r="M71" s="5" t="s">
        <v>138</v>
      </c>
      <c r="N71" s="37" t="s">
        <v>1237</v>
      </c>
      <c r="O71" t="s">
        <v>107</v>
      </c>
      <c r="P71" s="7">
        <f t="shared" si="6"/>
        <v>1.36</v>
      </c>
      <c r="Q71" s="7">
        <f t="shared" si="7"/>
        <v>-75.977500000000006</v>
      </c>
      <c r="R71" s="7" t="str">
        <f t="shared" si="8"/>
        <v>01º21′36″ N</v>
      </c>
      <c r="S71" s="5" t="str">
        <f t="shared" si="9"/>
        <v>075º58′39″ W</v>
      </c>
      <c r="T71" s="5" t="str">
        <f t="shared" si="10"/>
        <v>01º21.60′N</v>
      </c>
      <c r="U71" s="5" t="str">
        <f t="shared" si="11"/>
        <v>075º58.65′W</v>
      </c>
    </row>
    <row r="72" spans="1:21" x14ac:dyDescent="0.2">
      <c r="A72" s="5">
        <v>48</v>
      </c>
      <c r="B72" s="11" t="s">
        <v>836</v>
      </c>
      <c r="C72" s="9" t="s">
        <v>317</v>
      </c>
      <c r="D72" s="9" t="s">
        <v>365</v>
      </c>
      <c r="E72" s="9" t="s">
        <v>366</v>
      </c>
      <c r="F72" s="5">
        <v>4</v>
      </c>
      <c r="G72" s="5">
        <v>56</v>
      </c>
      <c r="H72" s="5">
        <v>13</v>
      </c>
      <c r="I72" s="5" t="s">
        <v>132</v>
      </c>
      <c r="J72" s="5">
        <v>76</v>
      </c>
      <c r="K72" s="5">
        <v>17</v>
      </c>
      <c r="L72" s="5">
        <v>29</v>
      </c>
      <c r="M72" s="5" t="s">
        <v>138</v>
      </c>
      <c r="N72" s="37" t="s">
        <v>1238</v>
      </c>
      <c r="O72" t="s">
        <v>107</v>
      </c>
      <c r="P72" s="7">
        <f t="shared" si="6"/>
        <v>4.9369444444444444</v>
      </c>
      <c r="Q72" s="7">
        <f t="shared" si="7"/>
        <v>-76.291388888888889</v>
      </c>
      <c r="R72" s="7" t="str">
        <f t="shared" si="8"/>
        <v>04º56′13″ N</v>
      </c>
      <c r="S72" s="5" t="str">
        <f t="shared" si="9"/>
        <v>076º17′29″ W</v>
      </c>
      <c r="T72" s="5" t="str">
        <f t="shared" si="10"/>
        <v>04º56.22′N</v>
      </c>
      <c r="U72" s="5" t="str">
        <f t="shared" si="11"/>
        <v>076º17.48′W</v>
      </c>
    </row>
    <row r="73" spans="1:21" x14ac:dyDescent="0.2">
      <c r="A73" s="5">
        <v>73</v>
      </c>
      <c r="B73" s="11" t="s">
        <v>836</v>
      </c>
      <c r="C73" s="9" t="s">
        <v>317</v>
      </c>
      <c r="D73" s="9" t="s">
        <v>451</v>
      </c>
      <c r="E73" s="9" t="s">
        <v>452</v>
      </c>
      <c r="F73" s="5">
        <v>8</v>
      </c>
      <c r="G73" s="5">
        <v>44</v>
      </c>
      <c r="H73" s="5">
        <v>32.4</v>
      </c>
      <c r="I73" s="5" t="s">
        <v>132</v>
      </c>
      <c r="J73" s="5">
        <v>76</v>
      </c>
      <c r="K73" s="5">
        <v>19</v>
      </c>
      <c r="L73" s="5">
        <v>23.4</v>
      </c>
      <c r="M73" s="5" t="s">
        <v>138</v>
      </c>
      <c r="N73" s="37" t="s">
        <v>1237</v>
      </c>
      <c r="O73" t="s">
        <v>107</v>
      </c>
      <c r="P73" s="7">
        <f t="shared" si="6"/>
        <v>8.7423333333333328</v>
      </c>
      <c r="Q73" s="7">
        <f t="shared" si="7"/>
        <v>-76.323166666666665</v>
      </c>
      <c r="R73" s="7" t="str">
        <f t="shared" si="8"/>
        <v>08º44′32″ N</v>
      </c>
      <c r="S73" s="5" t="str">
        <f t="shared" si="9"/>
        <v>076º19′23″ W</v>
      </c>
      <c r="T73" s="5" t="str">
        <f t="shared" si="10"/>
        <v>08º44.54′N</v>
      </c>
      <c r="U73" s="5" t="str">
        <f t="shared" si="11"/>
        <v>076º19.39′W</v>
      </c>
    </row>
    <row r="74" spans="1:21" x14ac:dyDescent="0.2">
      <c r="A74" s="5">
        <v>74</v>
      </c>
      <c r="B74" s="11" t="s">
        <v>836</v>
      </c>
      <c r="C74" s="9" t="s">
        <v>317</v>
      </c>
      <c r="D74" s="9" t="s">
        <v>451</v>
      </c>
      <c r="E74" s="9" t="s">
        <v>453</v>
      </c>
      <c r="F74" s="5">
        <v>8</v>
      </c>
      <c r="G74" s="5">
        <v>3</v>
      </c>
      <c r="H74" s="5">
        <v>49</v>
      </c>
      <c r="I74" s="5" t="s">
        <v>132</v>
      </c>
      <c r="J74" s="5">
        <v>76</v>
      </c>
      <c r="K74" s="5">
        <v>8</v>
      </c>
      <c r="L74" s="5">
        <v>90</v>
      </c>
      <c r="M74" s="5" t="s">
        <v>138</v>
      </c>
      <c r="N74" s="37" t="s">
        <v>1237</v>
      </c>
      <c r="O74" t="s">
        <v>107</v>
      </c>
      <c r="P74" s="7">
        <f t="shared" si="6"/>
        <v>8.0636111111111113</v>
      </c>
      <c r="Q74" s="7">
        <f t="shared" si="7"/>
        <v>-76.158333333333346</v>
      </c>
      <c r="R74" s="7" t="str">
        <f t="shared" si="8"/>
        <v>08º03′49″ N</v>
      </c>
      <c r="S74" s="5" t="str">
        <f t="shared" si="9"/>
        <v>076º08′90″ W</v>
      </c>
      <c r="T74" s="5" t="str">
        <f t="shared" si="10"/>
        <v>08º03.82′N</v>
      </c>
      <c r="U74" s="5" t="str">
        <f t="shared" si="11"/>
        <v>076º08.150′W</v>
      </c>
    </row>
    <row r="75" spans="1:21" x14ac:dyDescent="0.2">
      <c r="A75" s="5">
        <v>160</v>
      </c>
      <c r="B75" s="11" t="s">
        <v>836</v>
      </c>
      <c r="C75" s="9" t="s">
        <v>317</v>
      </c>
      <c r="D75" s="9" t="s">
        <v>711</v>
      </c>
      <c r="E75" s="9" t="s">
        <v>712</v>
      </c>
      <c r="F75" s="5">
        <v>4</v>
      </c>
      <c r="G75" s="5">
        <v>36</v>
      </c>
      <c r="H75" s="5">
        <v>11.3</v>
      </c>
      <c r="I75" s="5" t="s">
        <v>132</v>
      </c>
      <c r="J75" s="5">
        <v>72</v>
      </c>
      <c r="K75" s="5">
        <v>55</v>
      </c>
      <c r="L75" s="5">
        <v>43.65</v>
      </c>
      <c r="M75" s="5" t="s">
        <v>138</v>
      </c>
      <c r="N75" s="36" t="s">
        <v>1239</v>
      </c>
      <c r="O75" t="s">
        <v>107</v>
      </c>
      <c r="P75" s="7">
        <f t="shared" si="6"/>
        <v>4.6031388888888882</v>
      </c>
      <c r="Q75" s="7">
        <f t="shared" si="7"/>
        <v>-72.928791666666669</v>
      </c>
      <c r="R75" s="7" t="str">
        <f t="shared" si="8"/>
        <v>04º36′11″ N</v>
      </c>
      <c r="S75" s="5" t="str">
        <f t="shared" si="9"/>
        <v>072º55′44″ W</v>
      </c>
      <c r="T75" s="5" t="str">
        <f t="shared" si="10"/>
        <v>04º36.19′N</v>
      </c>
      <c r="U75" s="5" t="str">
        <f t="shared" si="11"/>
        <v>072º55.73′W</v>
      </c>
    </row>
    <row r="76" spans="1:21" x14ac:dyDescent="0.2">
      <c r="A76" s="5">
        <v>114</v>
      </c>
      <c r="B76" s="11" t="s">
        <v>836</v>
      </c>
      <c r="C76" s="9" t="s">
        <v>317</v>
      </c>
      <c r="D76" s="9" t="s">
        <v>537</v>
      </c>
      <c r="E76" s="9" t="s">
        <v>570</v>
      </c>
      <c r="F76" s="5">
        <v>11</v>
      </c>
      <c r="G76" s="5">
        <v>19</v>
      </c>
      <c r="H76" s="5">
        <v>29.3</v>
      </c>
      <c r="I76" s="5" t="s">
        <v>132</v>
      </c>
      <c r="J76" s="5">
        <v>73</v>
      </c>
      <c r="K76" s="5">
        <v>3</v>
      </c>
      <c r="L76" s="5">
        <v>13</v>
      </c>
      <c r="M76" s="5" t="s">
        <v>138</v>
      </c>
      <c r="N76" s="39" t="s">
        <v>1240</v>
      </c>
      <c r="O76" t="s">
        <v>107</v>
      </c>
      <c r="P76" s="7">
        <f t="shared" si="6"/>
        <v>11.324805555555555</v>
      </c>
      <c r="Q76" s="7">
        <f t="shared" si="7"/>
        <v>-73.05361111111111</v>
      </c>
      <c r="R76" s="7" t="str">
        <f t="shared" si="8"/>
        <v>11º19′29″ N</v>
      </c>
      <c r="S76" s="5" t="str">
        <f t="shared" si="9"/>
        <v>073º03′13″ W</v>
      </c>
      <c r="T76" s="5" t="str">
        <f t="shared" si="10"/>
        <v>11º19.49′N</v>
      </c>
      <c r="U76" s="5" t="str">
        <f t="shared" si="11"/>
        <v>073º03.22′W</v>
      </c>
    </row>
    <row r="77" spans="1:21" x14ac:dyDescent="0.2">
      <c r="A77" s="5">
        <v>102</v>
      </c>
      <c r="B77" s="11" t="s">
        <v>836</v>
      </c>
      <c r="C77" s="9" t="s">
        <v>317</v>
      </c>
      <c r="D77" s="9" t="s">
        <v>537</v>
      </c>
      <c r="E77" s="9" t="s">
        <v>538</v>
      </c>
      <c r="F77" s="5">
        <v>10</v>
      </c>
      <c r="G77" s="5">
        <v>58</v>
      </c>
      <c r="H77" s="5">
        <v>0</v>
      </c>
      <c r="I77" s="5" t="s">
        <v>132</v>
      </c>
      <c r="J77" s="5">
        <v>74</v>
      </c>
      <c r="K77" s="5">
        <v>30</v>
      </c>
      <c r="L77" s="5">
        <v>0</v>
      </c>
      <c r="M77" s="5" t="s">
        <v>138</v>
      </c>
      <c r="N77" s="39" t="s">
        <v>1201</v>
      </c>
      <c r="O77" t="s">
        <v>107</v>
      </c>
      <c r="P77" s="7">
        <f t="shared" si="6"/>
        <v>10.966666666666667</v>
      </c>
      <c r="Q77" s="7">
        <f t="shared" si="7"/>
        <v>-74.5</v>
      </c>
      <c r="R77" s="7" t="str">
        <f t="shared" si="8"/>
        <v>10º58′00″ N</v>
      </c>
      <c r="S77" s="5" t="str">
        <f t="shared" si="9"/>
        <v>074º30′00″ W</v>
      </c>
      <c r="T77" s="5" t="str">
        <f t="shared" si="10"/>
        <v>10º58.00′N</v>
      </c>
      <c r="U77" s="5" t="str">
        <f t="shared" si="11"/>
        <v>074º30.00′W</v>
      </c>
    </row>
    <row r="78" spans="1:21" x14ac:dyDescent="0.2">
      <c r="A78" s="5">
        <v>103</v>
      </c>
      <c r="B78" s="11" t="s">
        <v>836</v>
      </c>
      <c r="C78" s="9" t="s">
        <v>317</v>
      </c>
      <c r="D78" s="9" t="s">
        <v>539</v>
      </c>
      <c r="E78" s="9" t="s">
        <v>540</v>
      </c>
      <c r="F78" s="5">
        <v>13</v>
      </c>
      <c r="G78" s="5">
        <v>20</v>
      </c>
      <c r="H78" s="5">
        <v>0</v>
      </c>
      <c r="I78" s="5" t="s">
        <v>132</v>
      </c>
      <c r="J78" s="5">
        <v>81</v>
      </c>
      <c r="K78" s="5">
        <v>22</v>
      </c>
      <c r="L78" s="5">
        <v>0</v>
      </c>
      <c r="M78" s="5" t="s">
        <v>138</v>
      </c>
      <c r="N78" s="39" t="s">
        <v>1235</v>
      </c>
      <c r="O78" t="s">
        <v>107</v>
      </c>
      <c r="P78" s="7">
        <f t="shared" si="6"/>
        <v>13.333333333333334</v>
      </c>
      <c r="Q78" s="7">
        <f t="shared" si="7"/>
        <v>-81.36666666666666</v>
      </c>
      <c r="R78" s="7" t="str">
        <f t="shared" si="8"/>
        <v>13º20′00″ N</v>
      </c>
      <c r="S78" s="5" t="str">
        <f t="shared" si="9"/>
        <v>081º22′00″ W</v>
      </c>
      <c r="T78" s="5" t="str">
        <f t="shared" si="10"/>
        <v>13º20.00′N</v>
      </c>
      <c r="U78" s="5" t="str">
        <f t="shared" si="11"/>
        <v>081º22.00′W</v>
      </c>
    </row>
    <row r="79" spans="1:21" x14ac:dyDescent="0.2">
      <c r="A79" s="5">
        <v>44</v>
      </c>
      <c r="B79" s="11" t="s">
        <v>836</v>
      </c>
      <c r="C79" s="9" t="s">
        <v>317</v>
      </c>
      <c r="D79" s="9" t="s">
        <v>349</v>
      </c>
      <c r="E79" s="9" t="s">
        <v>350</v>
      </c>
      <c r="F79" s="5">
        <v>3</v>
      </c>
      <c r="G79" s="5">
        <v>55</v>
      </c>
      <c r="H79" s="5">
        <v>33</v>
      </c>
      <c r="I79" s="5" t="s">
        <v>132</v>
      </c>
      <c r="J79" s="5">
        <v>76</v>
      </c>
      <c r="K79" s="5">
        <v>31</v>
      </c>
      <c r="L79" s="5">
        <v>31</v>
      </c>
      <c r="M79" s="5" t="s">
        <v>138</v>
      </c>
      <c r="N79" s="37" t="s">
        <v>1238</v>
      </c>
      <c r="O79" t="s">
        <v>107</v>
      </c>
      <c r="P79" s="7">
        <f t="shared" si="6"/>
        <v>3.9258333333333333</v>
      </c>
      <c r="Q79" s="7">
        <f t="shared" si="7"/>
        <v>-76.525277777777774</v>
      </c>
      <c r="R79" s="7" t="str">
        <f t="shared" si="8"/>
        <v>03º55′33″ N</v>
      </c>
      <c r="S79" s="5" t="str">
        <f t="shared" si="9"/>
        <v>076º31′31″ W</v>
      </c>
      <c r="T79" s="5" t="str">
        <f t="shared" si="10"/>
        <v>03º55.55′N</v>
      </c>
      <c r="U79" s="5" t="str">
        <f t="shared" si="11"/>
        <v>076º31.52′W</v>
      </c>
    </row>
    <row r="80" spans="1:21" x14ac:dyDescent="0.2">
      <c r="A80" s="5">
        <v>157</v>
      </c>
      <c r="B80" s="11" t="s">
        <v>836</v>
      </c>
      <c r="C80" s="9" t="s">
        <v>317</v>
      </c>
      <c r="D80" s="9" t="s">
        <v>349</v>
      </c>
      <c r="E80" s="9" t="s">
        <v>679</v>
      </c>
      <c r="F80" s="12">
        <v>3</v>
      </c>
      <c r="G80" s="12">
        <v>56</v>
      </c>
      <c r="H80" s="12">
        <v>3</v>
      </c>
      <c r="I80" s="12" t="s">
        <v>132</v>
      </c>
      <c r="J80" s="12">
        <v>76</v>
      </c>
      <c r="K80" s="12">
        <v>41</v>
      </c>
      <c r="L80" s="12">
        <v>2</v>
      </c>
      <c r="M80" s="12" t="s">
        <v>138</v>
      </c>
      <c r="N80" s="37" t="s">
        <v>1238</v>
      </c>
      <c r="O80" t="s">
        <v>107</v>
      </c>
      <c r="P80" s="7">
        <f t="shared" si="6"/>
        <v>3.934166666666667</v>
      </c>
      <c r="Q80" s="7">
        <f t="shared" si="7"/>
        <v>-76.683888888888887</v>
      </c>
      <c r="R80" s="7" t="str">
        <f t="shared" si="8"/>
        <v>03º56′03″ N</v>
      </c>
      <c r="S80" s="5" t="str">
        <f t="shared" si="9"/>
        <v>076º41′02″ W</v>
      </c>
      <c r="T80" s="5" t="str">
        <f t="shared" si="10"/>
        <v>03º56.05′N</v>
      </c>
      <c r="U80" s="5" t="str">
        <f t="shared" si="11"/>
        <v>076º41.03′W</v>
      </c>
    </row>
    <row r="81" spans="1:21" x14ac:dyDescent="0.2">
      <c r="A81" s="5">
        <v>51</v>
      </c>
      <c r="B81" s="11" t="s">
        <v>836</v>
      </c>
      <c r="C81" s="9" t="s">
        <v>317</v>
      </c>
      <c r="D81" s="9" t="s">
        <v>349</v>
      </c>
      <c r="E81" s="9" t="s">
        <v>373</v>
      </c>
      <c r="F81" s="5">
        <v>2</v>
      </c>
      <c r="G81" s="5">
        <v>58</v>
      </c>
      <c r="H81" s="5">
        <v>22</v>
      </c>
      <c r="I81" s="5" t="s">
        <v>132</v>
      </c>
      <c r="J81" s="5">
        <v>78</v>
      </c>
      <c r="K81" s="5">
        <v>10</v>
      </c>
      <c r="L81" s="5">
        <v>11</v>
      </c>
      <c r="M81" s="5" t="s">
        <v>138</v>
      </c>
      <c r="N81" s="37" t="s">
        <v>1238</v>
      </c>
      <c r="O81" t="s">
        <v>107</v>
      </c>
      <c r="P81" s="7">
        <f t="shared" si="6"/>
        <v>2.972777777777778</v>
      </c>
      <c r="Q81" s="7">
        <f t="shared" si="7"/>
        <v>-78.169722222222234</v>
      </c>
      <c r="R81" s="7" t="str">
        <f t="shared" si="8"/>
        <v>02º58′22″ N</v>
      </c>
      <c r="S81" s="5" t="str">
        <f t="shared" si="9"/>
        <v>078º10′11″ W</v>
      </c>
      <c r="T81" s="5" t="str">
        <f t="shared" si="10"/>
        <v>02º58.37′N</v>
      </c>
      <c r="U81" s="5" t="str">
        <f t="shared" si="11"/>
        <v>078º10.18′W</v>
      </c>
    </row>
    <row r="82" spans="1:21" x14ac:dyDescent="0.2">
      <c r="A82" s="5">
        <v>52</v>
      </c>
      <c r="B82" s="11" t="s">
        <v>836</v>
      </c>
      <c r="C82" s="9" t="s">
        <v>317</v>
      </c>
      <c r="D82" s="9" t="s">
        <v>349</v>
      </c>
      <c r="E82" s="9" t="s">
        <v>374</v>
      </c>
      <c r="F82" s="5">
        <v>3</v>
      </c>
      <c r="G82" s="5">
        <v>19</v>
      </c>
      <c r="H82" s="5">
        <v>42</v>
      </c>
      <c r="I82" s="5" t="s">
        <v>132</v>
      </c>
      <c r="J82" s="5">
        <v>76</v>
      </c>
      <c r="K82" s="5">
        <v>38</v>
      </c>
      <c r="L82" s="5">
        <v>19</v>
      </c>
      <c r="M82" s="5" t="s">
        <v>138</v>
      </c>
      <c r="N82" s="37" t="s">
        <v>1238</v>
      </c>
      <c r="O82" t="s">
        <v>107</v>
      </c>
      <c r="P82" s="7">
        <f t="shared" si="6"/>
        <v>3.3283333333333331</v>
      </c>
      <c r="Q82" s="7">
        <f t="shared" si="7"/>
        <v>-76.638611111111118</v>
      </c>
      <c r="R82" s="7" t="str">
        <f t="shared" si="8"/>
        <v>03º19′42″ N</v>
      </c>
      <c r="S82" s="5" t="str">
        <f t="shared" si="9"/>
        <v>076º38′19″ W</v>
      </c>
      <c r="T82" s="5" t="str">
        <f t="shared" si="10"/>
        <v>03º19.70′N</v>
      </c>
      <c r="U82" s="5" t="str">
        <f t="shared" si="11"/>
        <v>076º38.32′W</v>
      </c>
    </row>
    <row r="83" spans="1:21" x14ac:dyDescent="0.2">
      <c r="A83" s="5">
        <v>156</v>
      </c>
      <c r="B83" s="11" t="s">
        <v>836</v>
      </c>
      <c r="C83" s="9" t="s">
        <v>317</v>
      </c>
      <c r="D83" s="9" t="s">
        <v>349</v>
      </c>
      <c r="E83" s="9" t="s">
        <v>678</v>
      </c>
      <c r="F83" s="12">
        <v>3</v>
      </c>
      <c r="G83" s="12">
        <v>22</v>
      </c>
      <c r="H83" s="12">
        <v>34</v>
      </c>
      <c r="I83" s="12" t="s">
        <v>132</v>
      </c>
      <c r="J83" s="12">
        <v>76</v>
      </c>
      <c r="K83" s="12">
        <v>31</v>
      </c>
      <c r="L83" s="12">
        <v>58</v>
      </c>
      <c r="M83" s="12" t="s">
        <v>138</v>
      </c>
      <c r="N83" s="37" t="s">
        <v>1238</v>
      </c>
      <c r="O83" t="s">
        <v>107</v>
      </c>
      <c r="P83" s="7">
        <f t="shared" si="6"/>
        <v>3.3761111111111113</v>
      </c>
      <c r="Q83" s="7">
        <f t="shared" si="7"/>
        <v>-76.532777777777781</v>
      </c>
      <c r="R83" s="7" t="str">
        <f t="shared" si="8"/>
        <v>03º22′34″ N</v>
      </c>
      <c r="S83" s="5" t="str">
        <f t="shared" si="9"/>
        <v>076º31′58″ W</v>
      </c>
      <c r="T83" s="5" t="str">
        <f t="shared" si="10"/>
        <v>03º22.57′N</v>
      </c>
      <c r="U83" s="5" t="str">
        <f t="shared" si="11"/>
        <v>076º31.97′W</v>
      </c>
    </row>
    <row r="84" spans="1:21" x14ac:dyDescent="0.2">
      <c r="A84" s="5">
        <v>230</v>
      </c>
      <c r="B84" s="11" t="s">
        <v>836</v>
      </c>
      <c r="C84" s="9" t="s">
        <v>750</v>
      </c>
      <c r="D84" s="9" t="s">
        <v>107</v>
      </c>
      <c r="E84" s="9" t="s">
        <v>107</v>
      </c>
      <c r="F84" s="5" t="s">
        <v>107</v>
      </c>
      <c r="G84" s="5" t="s">
        <v>107</v>
      </c>
      <c r="H84" s="5" t="s">
        <v>107</v>
      </c>
      <c r="I84" s="5" t="s">
        <v>107</v>
      </c>
      <c r="J84" s="5" t="s">
        <v>107</v>
      </c>
      <c r="K84" s="5" t="s">
        <v>107</v>
      </c>
      <c r="L84" s="5" t="s">
        <v>107</v>
      </c>
      <c r="M84" s="5" t="s">
        <v>107</v>
      </c>
      <c r="N84" s="43" t="s">
        <v>107</v>
      </c>
      <c r="O84" t="s">
        <v>107</v>
      </c>
      <c r="P84" s="7" t="str">
        <f t="shared" si="6"/>
        <v>-</v>
      </c>
      <c r="Q84" s="7" t="str">
        <f t="shared" si="7"/>
        <v>-</v>
      </c>
      <c r="R84" s="7" t="str">
        <f t="shared" si="8"/>
        <v>-</v>
      </c>
      <c r="S84" s="5" t="str">
        <f t="shared" si="9"/>
        <v>-</v>
      </c>
      <c r="T84" s="5" t="str">
        <f t="shared" si="10"/>
        <v>-</v>
      </c>
      <c r="U84" s="5" t="str">
        <f t="shared" si="11"/>
        <v>-</v>
      </c>
    </row>
    <row r="85" spans="1:21" x14ac:dyDescent="0.2">
      <c r="A85" s="5">
        <v>209</v>
      </c>
      <c r="B85" s="11" t="s">
        <v>836</v>
      </c>
      <c r="C85" s="9" t="s">
        <v>750</v>
      </c>
      <c r="D85" t="s">
        <v>832</v>
      </c>
      <c r="E85" s="9" t="s">
        <v>833</v>
      </c>
      <c r="F85" s="5">
        <v>10</v>
      </c>
      <c r="G85" s="5">
        <v>53</v>
      </c>
      <c r="H85" s="5">
        <v>1</v>
      </c>
      <c r="I85" s="5" t="s">
        <v>132</v>
      </c>
      <c r="J85" s="5">
        <v>85</v>
      </c>
      <c r="K85" s="5">
        <v>46</v>
      </c>
      <c r="L85" s="5">
        <v>30</v>
      </c>
      <c r="M85" s="5" t="s">
        <v>138</v>
      </c>
      <c r="N85" s="45" t="s">
        <v>163</v>
      </c>
      <c r="O85" t="s">
        <v>107</v>
      </c>
      <c r="P85" s="7">
        <f t="shared" si="6"/>
        <v>10.88361111111111</v>
      </c>
      <c r="Q85" s="7">
        <f t="shared" si="7"/>
        <v>-85.775000000000006</v>
      </c>
      <c r="R85" s="7" t="str">
        <f t="shared" si="8"/>
        <v>10º53′01″ N</v>
      </c>
      <c r="S85" s="5" t="str">
        <f t="shared" si="9"/>
        <v>085º46′30″ W</v>
      </c>
      <c r="T85" s="5" t="str">
        <f t="shared" si="10"/>
        <v>10º53.02′N</v>
      </c>
      <c r="U85" s="5" t="str">
        <f t="shared" si="11"/>
        <v>085º46.50′W</v>
      </c>
    </row>
    <row r="86" spans="1:21" x14ac:dyDescent="0.2">
      <c r="A86" s="5">
        <v>203</v>
      </c>
      <c r="B86" s="11" t="s">
        <v>836</v>
      </c>
      <c r="C86" s="9" t="s">
        <v>750</v>
      </c>
      <c r="D86" s="9" t="s">
        <v>820</v>
      </c>
      <c r="E86" s="9" t="s">
        <v>821</v>
      </c>
      <c r="F86" s="5">
        <v>10</v>
      </c>
      <c r="G86" s="5">
        <v>23</v>
      </c>
      <c r="H86" s="5">
        <v>52.29</v>
      </c>
      <c r="I86" s="5" t="s">
        <v>132</v>
      </c>
      <c r="J86" s="5">
        <v>84</v>
      </c>
      <c r="K86" s="5">
        <v>7</v>
      </c>
      <c r="L86" s="5">
        <v>4.07</v>
      </c>
      <c r="M86" s="5" t="s">
        <v>138</v>
      </c>
      <c r="N86" s="38" t="s">
        <v>1241</v>
      </c>
      <c r="O86" t="s">
        <v>107</v>
      </c>
      <c r="P86" s="7">
        <f t="shared" si="6"/>
        <v>10.397858333333334</v>
      </c>
      <c r="Q86" s="7">
        <f t="shared" si="7"/>
        <v>-84.117797222222222</v>
      </c>
      <c r="R86" s="7" t="str">
        <f t="shared" si="8"/>
        <v>10º23′52″ N</v>
      </c>
      <c r="S86" s="5" t="str">
        <f t="shared" si="9"/>
        <v>084º07′04″ W</v>
      </c>
      <c r="T86" s="5" t="str">
        <f t="shared" si="10"/>
        <v>10º23.87′N</v>
      </c>
      <c r="U86" s="5" t="str">
        <f t="shared" si="11"/>
        <v>084º07.07′W</v>
      </c>
    </row>
    <row r="87" spans="1:21" x14ac:dyDescent="0.2">
      <c r="A87" s="5">
        <v>180</v>
      </c>
      <c r="B87" s="11" t="s">
        <v>836</v>
      </c>
      <c r="C87" s="9" t="s">
        <v>750</v>
      </c>
      <c r="D87" s="9" t="s">
        <v>751</v>
      </c>
      <c r="E87" s="9" t="s">
        <v>752</v>
      </c>
      <c r="F87" s="5">
        <v>8</v>
      </c>
      <c r="G87" s="5">
        <v>56</v>
      </c>
      <c r="H87" s="5">
        <v>23</v>
      </c>
      <c r="I87" s="5" t="s">
        <v>132</v>
      </c>
      <c r="J87" s="5">
        <v>82</v>
      </c>
      <c r="K87" s="5">
        <v>49</v>
      </c>
      <c r="L87" s="5">
        <v>13</v>
      </c>
      <c r="M87" s="5" t="s">
        <v>138</v>
      </c>
      <c r="N87" s="38" t="s">
        <v>1242</v>
      </c>
      <c r="O87" t="s">
        <v>107</v>
      </c>
      <c r="P87" s="7">
        <f t="shared" si="6"/>
        <v>8.9397222222222226</v>
      </c>
      <c r="Q87" s="7">
        <f t="shared" si="7"/>
        <v>-82.820277777777775</v>
      </c>
      <c r="R87" s="7" t="str">
        <f t="shared" si="8"/>
        <v>08º56′23″ N</v>
      </c>
      <c r="S87" s="5" t="str">
        <f t="shared" si="9"/>
        <v>082º49′13″ W</v>
      </c>
      <c r="T87" s="5" t="str">
        <f t="shared" si="10"/>
        <v>08º56.38′N</v>
      </c>
      <c r="U87" s="5" t="str">
        <f t="shared" si="11"/>
        <v>082º49.22′W</v>
      </c>
    </row>
    <row r="88" spans="1:21" x14ac:dyDescent="0.2">
      <c r="A88" s="5">
        <v>193</v>
      </c>
      <c r="B88" s="11" t="s">
        <v>836</v>
      </c>
      <c r="C88" s="9" t="s">
        <v>750</v>
      </c>
      <c r="D88" s="9" t="s">
        <v>791</v>
      </c>
      <c r="E88" s="9" t="s">
        <v>792</v>
      </c>
      <c r="F88" s="5">
        <v>9</v>
      </c>
      <c r="G88" s="5">
        <v>56</v>
      </c>
      <c r="H88" s="5">
        <v>0</v>
      </c>
      <c r="I88" s="5" t="s">
        <v>132</v>
      </c>
      <c r="J88" s="5">
        <v>84</v>
      </c>
      <c r="K88" s="5">
        <v>12</v>
      </c>
      <c r="L88" s="5">
        <v>0</v>
      </c>
      <c r="M88" s="5" t="s">
        <v>138</v>
      </c>
      <c r="N88" s="36" t="s">
        <v>1185</v>
      </c>
      <c r="O88" t="s">
        <v>107</v>
      </c>
      <c r="P88" s="7">
        <f t="shared" si="6"/>
        <v>9.9333333333333336</v>
      </c>
      <c r="Q88" s="7">
        <f t="shared" si="7"/>
        <v>-84.2</v>
      </c>
      <c r="R88" s="7" t="str">
        <f t="shared" si="8"/>
        <v>09º56′00″ N</v>
      </c>
      <c r="S88" s="5" t="str">
        <f t="shared" si="9"/>
        <v>084º12′00″ W</v>
      </c>
      <c r="T88" s="5" t="str">
        <f t="shared" si="10"/>
        <v>09º56.00′N</v>
      </c>
      <c r="U88" s="5" t="str">
        <f t="shared" si="11"/>
        <v>084º12.00′W</v>
      </c>
    </row>
    <row r="89" spans="1:21" x14ac:dyDescent="0.2">
      <c r="A89" s="5">
        <v>231</v>
      </c>
      <c r="B89" s="11" t="s">
        <v>836</v>
      </c>
      <c r="C89" s="9" t="s">
        <v>964</v>
      </c>
      <c r="D89" s="9" t="s">
        <v>107</v>
      </c>
      <c r="E89" s="9" t="s">
        <v>107</v>
      </c>
      <c r="F89" s="5" t="s">
        <v>107</v>
      </c>
      <c r="G89" s="5" t="s">
        <v>107</v>
      </c>
      <c r="H89" s="5" t="s">
        <v>107</v>
      </c>
      <c r="I89" s="5" t="s">
        <v>107</v>
      </c>
      <c r="J89" s="5" t="s">
        <v>107</v>
      </c>
      <c r="K89" s="5" t="s">
        <v>107</v>
      </c>
      <c r="L89" s="5" t="s">
        <v>107</v>
      </c>
      <c r="M89" s="5" t="s">
        <v>107</v>
      </c>
      <c r="N89" s="43" t="s">
        <v>107</v>
      </c>
      <c r="O89" t="s">
        <v>107</v>
      </c>
      <c r="P89" s="7" t="str">
        <f t="shared" si="6"/>
        <v>-</v>
      </c>
      <c r="Q89" s="7" t="str">
        <f t="shared" si="7"/>
        <v>-</v>
      </c>
      <c r="R89" s="7" t="str">
        <f t="shared" si="8"/>
        <v>-</v>
      </c>
      <c r="S89" s="5" t="str">
        <f t="shared" si="9"/>
        <v>-</v>
      </c>
      <c r="T89" s="5" t="str">
        <f t="shared" si="10"/>
        <v>-</v>
      </c>
      <c r="U89" s="5" t="str">
        <f t="shared" si="11"/>
        <v>-</v>
      </c>
    </row>
    <row r="90" spans="1:21" x14ac:dyDescent="0.2">
      <c r="A90" s="5">
        <v>85</v>
      </c>
      <c r="B90" s="11" t="s">
        <v>836</v>
      </c>
      <c r="C90" s="9" t="s">
        <v>489</v>
      </c>
      <c r="D90" s="9" t="s">
        <v>107</v>
      </c>
      <c r="E90" s="9" t="s">
        <v>107</v>
      </c>
      <c r="F90" s="5" t="s">
        <v>107</v>
      </c>
      <c r="G90" s="5" t="s">
        <v>107</v>
      </c>
      <c r="H90" s="5" t="s">
        <v>107</v>
      </c>
      <c r="I90" s="5" t="s">
        <v>107</v>
      </c>
      <c r="J90" s="5" t="s">
        <v>107</v>
      </c>
      <c r="K90" s="5" t="s">
        <v>107</v>
      </c>
      <c r="L90" s="5" t="s">
        <v>107</v>
      </c>
      <c r="M90" s="5" t="s">
        <v>107</v>
      </c>
      <c r="N90" s="45" t="s">
        <v>107</v>
      </c>
      <c r="O90" t="s">
        <v>107</v>
      </c>
      <c r="P90" s="7" t="str">
        <f t="shared" si="6"/>
        <v>-</v>
      </c>
      <c r="Q90" s="7" t="str">
        <f t="shared" si="7"/>
        <v>-</v>
      </c>
      <c r="R90" s="7" t="str">
        <f t="shared" si="8"/>
        <v>-</v>
      </c>
      <c r="S90" s="5" t="str">
        <f t="shared" si="9"/>
        <v>-</v>
      </c>
      <c r="T90" s="5" t="str">
        <f t="shared" si="10"/>
        <v>-</v>
      </c>
      <c r="U90" s="5" t="str">
        <f t="shared" si="11"/>
        <v>-</v>
      </c>
    </row>
    <row r="91" spans="1:21" x14ac:dyDescent="0.2">
      <c r="A91" s="5">
        <v>235</v>
      </c>
      <c r="B91" s="11" t="s">
        <v>836</v>
      </c>
      <c r="C91" s="9" t="s">
        <v>338</v>
      </c>
      <c r="D91" s="9" t="s">
        <v>107</v>
      </c>
      <c r="E91" s="9" t="s">
        <v>107</v>
      </c>
      <c r="F91" s="5" t="s">
        <v>107</v>
      </c>
      <c r="G91" s="5" t="s">
        <v>107</v>
      </c>
      <c r="H91" s="5" t="s">
        <v>107</v>
      </c>
      <c r="I91" s="5" t="s">
        <v>107</v>
      </c>
      <c r="J91" s="5" t="s">
        <v>107</v>
      </c>
      <c r="K91" s="5" t="s">
        <v>107</v>
      </c>
      <c r="L91" s="5" t="s">
        <v>107</v>
      </c>
      <c r="M91" s="5" t="s">
        <v>107</v>
      </c>
      <c r="N91" s="43" t="s">
        <v>107</v>
      </c>
      <c r="O91" t="s">
        <v>107</v>
      </c>
      <c r="P91" s="7" t="str">
        <f t="shared" si="6"/>
        <v>-</v>
      </c>
      <c r="Q91" s="7" t="str">
        <f t="shared" si="7"/>
        <v>-</v>
      </c>
      <c r="R91" s="7" t="str">
        <f t="shared" si="8"/>
        <v>-</v>
      </c>
      <c r="S91" s="5" t="str">
        <f t="shared" si="9"/>
        <v>-</v>
      </c>
      <c r="T91" s="5" t="str">
        <f t="shared" si="10"/>
        <v>-</v>
      </c>
      <c r="U91" s="5" t="str">
        <f t="shared" si="11"/>
        <v>-</v>
      </c>
    </row>
    <row r="92" spans="1:21" x14ac:dyDescent="0.2">
      <c r="A92" s="5">
        <v>54</v>
      </c>
      <c r="B92" s="11" t="s">
        <v>836</v>
      </c>
      <c r="C92" s="9" t="s">
        <v>338</v>
      </c>
      <c r="D92" s="9" t="s">
        <v>380</v>
      </c>
      <c r="E92" s="9" t="s">
        <v>381</v>
      </c>
      <c r="F92" s="5">
        <v>0</v>
      </c>
      <c r="G92" s="5">
        <v>40</v>
      </c>
      <c r="H92" s="5">
        <v>55</v>
      </c>
      <c r="I92" s="5" t="s">
        <v>132</v>
      </c>
      <c r="J92" s="5">
        <v>80</v>
      </c>
      <c r="K92" s="5">
        <v>1</v>
      </c>
      <c r="L92" s="5">
        <v>40</v>
      </c>
      <c r="M92" s="5" t="s">
        <v>138</v>
      </c>
      <c r="N92" s="45" t="s">
        <v>163</v>
      </c>
      <c r="O92" t="s">
        <v>107</v>
      </c>
      <c r="P92" s="7">
        <f t="shared" si="6"/>
        <v>0.68194444444444435</v>
      </c>
      <c r="Q92" s="7">
        <f t="shared" si="7"/>
        <v>-80.027777777777771</v>
      </c>
      <c r="R92" s="7" t="str">
        <f t="shared" si="8"/>
        <v>00º40′55″ N</v>
      </c>
      <c r="S92" s="5" t="str">
        <f t="shared" si="9"/>
        <v>080º01′40″ W</v>
      </c>
      <c r="T92" s="5" t="str">
        <f t="shared" si="10"/>
        <v>00º40.92′N</v>
      </c>
      <c r="U92" s="5" t="str">
        <f t="shared" si="11"/>
        <v>080º01.67′W</v>
      </c>
    </row>
    <row r="93" spans="1:21" x14ac:dyDescent="0.2">
      <c r="A93" s="5">
        <v>179</v>
      </c>
      <c r="B93" s="11" t="s">
        <v>836</v>
      </c>
      <c r="C93" s="8" t="s">
        <v>338</v>
      </c>
      <c r="D93" t="s">
        <v>747</v>
      </c>
      <c r="E93" t="s">
        <v>746</v>
      </c>
      <c r="F93" s="5">
        <v>1</v>
      </c>
      <c r="G93" s="5">
        <v>21</v>
      </c>
      <c r="H93" s="5">
        <v>0</v>
      </c>
      <c r="I93" s="5" t="s">
        <v>131</v>
      </c>
      <c r="J93" s="5">
        <v>79</v>
      </c>
      <c r="K93" s="5">
        <v>42</v>
      </c>
      <c r="L93" s="5">
        <v>0</v>
      </c>
      <c r="M93" s="5" t="s">
        <v>138</v>
      </c>
      <c r="N93" s="36" t="s">
        <v>1243</v>
      </c>
      <c r="O93" t="s">
        <v>107</v>
      </c>
      <c r="P93" s="7">
        <f t="shared" si="6"/>
        <v>-1.35</v>
      </c>
      <c r="Q93" s="7">
        <f t="shared" si="7"/>
        <v>-79.7</v>
      </c>
      <c r="R93" s="7" t="str">
        <f t="shared" si="8"/>
        <v>01º21′00″ S</v>
      </c>
      <c r="S93" s="5" t="str">
        <f t="shared" si="9"/>
        <v>079º42′00″ W</v>
      </c>
      <c r="T93" s="5" t="str">
        <f t="shared" si="10"/>
        <v>01º21.00′S</v>
      </c>
      <c r="U93" s="5" t="str">
        <f t="shared" si="11"/>
        <v>079º42.00′W</v>
      </c>
    </row>
    <row r="94" spans="1:21" x14ac:dyDescent="0.2">
      <c r="A94" s="5">
        <v>42</v>
      </c>
      <c r="B94" s="11" t="s">
        <v>836</v>
      </c>
      <c r="C94" s="9" t="s">
        <v>338</v>
      </c>
      <c r="D94" s="9" t="s">
        <v>339</v>
      </c>
      <c r="E94" s="9" t="s">
        <v>340</v>
      </c>
      <c r="F94" s="5">
        <v>1</v>
      </c>
      <c r="G94" s="5">
        <v>27</v>
      </c>
      <c r="H94" s="5">
        <v>0</v>
      </c>
      <c r="I94" s="5" t="s">
        <v>131</v>
      </c>
      <c r="J94" s="5">
        <v>78</v>
      </c>
      <c r="K94" s="5">
        <v>7</v>
      </c>
      <c r="L94" s="5">
        <v>0</v>
      </c>
      <c r="M94" s="5" t="s">
        <v>138</v>
      </c>
      <c r="N94" s="37" t="s">
        <v>1192</v>
      </c>
      <c r="O94" t="s">
        <v>107</v>
      </c>
      <c r="P94" s="7">
        <f t="shared" si="6"/>
        <v>-1.45</v>
      </c>
      <c r="Q94" s="7">
        <f t="shared" si="7"/>
        <v>-78.11666666666666</v>
      </c>
      <c r="R94" s="7" t="str">
        <f t="shared" si="8"/>
        <v>01º27′00″ S</v>
      </c>
      <c r="S94" s="5" t="str">
        <f t="shared" si="9"/>
        <v>078º07′00″ W</v>
      </c>
      <c r="T94" s="5" t="str">
        <f t="shared" si="10"/>
        <v>01º27.00′S</v>
      </c>
      <c r="U94" s="5" t="str">
        <f t="shared" si="11"/>
        <v>078º07.00′W</v>
      </c>
    </row>
    <row r="95" spans="1:21" x14ac:dyDescent="0.2">
      <c r="A95" s="5">
        <v>58</v>
      </c>
      <c r="B95" s="11" t="s">
        <v>836</v>
      </c>
      <c r="C95" s="9" t="s">
        <v>396</v>
      </c>
      <c r="D95" s="9" t="s">
        <v>107</v>
      </c>
      <c r="E95" s="9" t="s">
        <v>107</v>
      </c>
      <c r="F95" s="5" t="s">
        <v>107</v>
      </c>
      <c r="G95" s="5" t="s">
        <v>107</v>
      </c>
      <c r="H95" s="5" t="s">
        <v>107</v>
      </c>
      <c r="I95" s="5" t="s">
        <v>107</v>
      </c>
      <c r="J95" s="5" t="s">
        <v>107</v>
      </c>
      <c r="K95" s="5" t="s">
        <v>107</v>
      </c>
      <c r="L95" s="5" t="s">
        <v>107</v>
      </c>
      <c r="M95" s="5" t="s">
        <v>107</v>
      </c>
      <c r="N95" s="45" t="s">
        <v>107</v>
      </c>
      <c r="O95" t="s">
        <v>107</v>
      </c>
      <c r="P95" s="7" t="str">
        <f t="shared" si="6"/>
        <v>-</v>
      </c>
      <c r="Q95" s="7" t="str">
        <f t="shared" si="7"/>
        <v>-</v>
      </c>
      <c r="R95" s="7" t="str">
        <f t="shared" si="8"/>
        <v>-</v>
      </c>
      <c r="S95" s="5" t="str">
        <f t="shared" si="9"/>
        <v>-</v>
      </c>
      <c r="T95" s="5" t="str">
        <f t="shared" si="10"/>
        <v>-</v>
      </c>
      <c r="U95" s="5" t="str">
        <f t="shared" si="11"/>
        <v>-</v>
      </c>
    </row>
    <row r="96" spans="1:21" x14ac:dyDescent="0.2">
      <c r="A96" s="5">
        <v>240</v>
      </c>
      <c r="B96" s="11" t="s">
        <v>836</v>
      </c>
      <c r="C96" s="9" t="s">
        <v>663</v>
      </c>
      <c r="D96" s="9" t="s">
        <v>107</v>
      </c>
      <c r="E96" s="9" t="s">
        <v>107</v>
      </c>
      <c r="F96" s="5" t="s">
        <v>107</v>
      </c>
      <c r="G96" s="5" t="s">
        <v>107</v>
      </c>
      <c r="H96" s="5" t="s">
        <v>107</v>
      </c>
      <c r="I96" s="5" t="s">
        <v>107</v>
      </c>
      <c r="J96" s="5" t="s">
        <v>107</v>
      </c>
      <c r="K96" s="5" t="s">
        <v>107</v>
      </c>
      <c r="L96" s="5" t="s">
        <v>107</v>
      </c>
      <c r="M96" s="5" t="s">
        <v>107</v>
      </c>
      <c r="N96" s="43" t="s">
        <v>107</v>
      </c>
      <c r="O96" t="s">
        <v>107</v>
      </c>
      <c r="P96" s="7" t="str">
        <f t="shared" si="6"/>
        <v>-</v>
      </c>
      <c r="Q96" s="7" t="str">
        <f t="shared" si="7"/>
        <v>-</v>
      </c>
      <c r="R96" s="7" t="str">
        <f t="shared" si="8"/>
        <v>-</v>
      </c>
      <c r="S96" s="5" t="str">
        <f t="shared" si="9"/>
        <v>-</v>
      </c>
      <c r="T96" s="5" t="str">
        <f t="shared" si="10"/>
        <v>-</v>
      </c>
      <c r="U96" s="5" t="str">
        <f t="shared" si="11"/>
        <v>-</v>
      </c>
    </row>
    <row r="97" spans="1:21" x14ac:dyDescent="0.2">
      <c r="A97" s="5">
        <v>152</v>
      </c>
      <c r="B97" s="11" t="s">
        <v>836</v>
      </c>
      <c r="C97" s="9" t="s">
        <v>663</v>
      </c>
      <c r="D97" s="9" t="s">
        <v>664</v>
      </c>
      <c r="E97" s="9" t="s">
        <v>665</v>
      </c>
      <c r="F97" s="12">
        <v>17</v>
      </c>
      <c r="G97" s="12">
        <v>15</v>
      </c>
      <c r="H97" s="12">
        <v>58</v>
      </c>
      <c r="I97" s="12" t="s">
        <v>132</v>
      </c>
      <c r="J97" s="12">
        <v>90</v>
      </c>
      <c r="K97" s="12">
        <v>22</v>
      </c>
      <c r="L97" s="12">
        <v>17</v>
      </c>
      <c r="M97" s="12" t="s">
        <v>138</v>
      </c>
      <c r="N97" s="39" t="s">
        <v>1244</v>
      </c>
      <c r="O97" t="s">
        <v>107</v>
      </c>
      <c r="P97" s="7">
        <f t="shared" si="6"/>
        <v>17.266111111111112</v>
      </c>
      <c r="Q97" s="7">
        <f t="shared" si="7"/>
        <v>-90.371388888888887</v>
      </c>
      <c r="R97" s="7" t="str">
        <f t="shared" si="8"/>
        <v>17º15′58″ N</v>
      </c>
      <c r="S97" s="5" t="str">
        <f t="shared" si="9"/>
        <v>090º22′17″ W</v>
      </c>
      <c r="T97" s="5" t="str">
        <f t="shared" si="10"/>
        <v>17º15.97′N</v>
      </c>
      <c r="U97" s="5" t="str">
        <f t="shared" si="11"/>
        <v>090º22.28′W</v>
      </c>
    </row>
    <row r="98" spans="1:21" x14ac:dyDescent="0.2">
      <c r="A98" s="5">
        <v>22</v>
      </c>
      <c r="B98" s="11" t="s">
        <v>836</v>
      </c>
      <c r="C98" s="9" t="s">
        <v>263</v>
      </c>
      <c r="D98" s="9" t="s">
        <v>107</v>
      </c>
      <c r="E98" s="9" t="s">
        <v>107</v>
      </c>
      <c r="F98" s="5">
        <v>23</v>
      </c>
      <c r="G98" s="5">
        <v>38</v>
      </c>
      <c r="H98" s="5">
        <v>4</v>
      </c>
      <c r="I98" s="5" t="s">
        <v>132</v>
      </c>
      <c r="J98" s="5">
        <v>102</v>
      </c>
      <c r="K98" s="5">
        <v>33</v>
      </c>
      <c r="L98" s="5">
        <v>10</v>
      </c>
      <c r="M98" s="5" t="s">
        <v>138</v>
      </c>
      <c r="N98" s="45" t="s">
        <v>163</v>
      </c>
      <c r="O98" t="s">
        <v>134</v>
      </c>
      <c r="P98" s="7">
        <f t="shared" si="6"/>
        <v>23.634444444444444</v>
      </c>
      <c r="Q98" s="7">
        <f t="shared" si="7"/>
        <v>-102.55277777777778</v>
      </c>
      <c r="R98" s="7" t="str">
        <f t="shared" si="8"/>
        <v>23º38′04″ N</v>
      </c>
      <c r="S98" s="5" t="str">
        <f t="shared" si="9"/>
        <v>102º33′10″ W</v>
      </c>
      <c r="T98" s="5" t="str">
        <f t="shared" si="10"/>
        <v>23º38.07′N</v>
      </c>
      <c r="U98" s="5" t="str">
        <f t="shared" si="11"/>
        <v>102º33.17′W</v>
      </c>
    </row>
    <row r="99" spans="1:21" x14ac:dyDescent="0.2">
      <c r="A99" s="5">
        <v>128</v>
      </c>
      <c r="B99" s="11" t="s">
        <v>836</v>
      </c>
      <c r="C99" s="9" t="s">
        <v>263</v>
      </c>
      <c r="D99" s="9" t="s">
        <v>612</v>
      </c>
      <c r="E99" s="9" t="s">
        <v>612</v>
      </c>
      <c r="F99" s="5">
        <v>21</v>
      </c>
      <c r="G99" s="5">
        <v>52</v>
      </c>
      <c r="H99" s="5">
        <v>33.6</v>
      </c>
      <c r="I99" s="5" t="s">
        <v>132</v>
      </c>
      <c r="J99" s="5">
        <v>102</v>
      </c>
      <c r="K99" s="5">
        <v>17</v>
      </c>
      <c r="L99" s="5">
        <v>45.6</v>
      </c>
      <c r="M99" s="5" t="s">
        <v>138</v>
      </c>
      <c r="N99" s="45" t="s">
        <v>163</v>
      </c>
      <c r="O99" t="s">
        <v>107</v>
      </c>
      <c r="P99" s="7">
        <f t="shared" si="6"/>
        <v>21.876000000000001</v>
      </c>
      <c r="Q99" s="7">
        <f t="shared" si="7"/>
        <v>-102.29599999999999</v>
      </c>
      <c r="R99" s="7" t="str">
        <f t="shared" si="8"/>
        <v>21º52′34″ N</v>
      </c>
      <c r="S99" s="5" t="str">
        <f t="shared" si="9"/>
        <v>102º17′46″ W</v>
      </c>
      <c r="T99" s="5" t="str">
        <f t="shared" si="10"/>
        <v>21º52.56′N</v>
      </c>
      <c r="U99" s="5" t="str">
        <f t="shared" si="11"/>
        <v>102º17.76′W</v>
      </c>
    </row>
    <row r="100" spans="1:21" x14ac:dyDescent="0.2">
      <c r="A100" s="5">
        <v>91</v>
      </c>
      <c r="B100" s="11" t="s">
        <v>836</v>
      </c>
      <c r="C100" s="9" t="s">
        <v>263</v>
      </c>
      <c r="D100" s="9" t="s">
        <v>390</v>
      </c>
      <c r="E100" s="9" t="s">
        <v>505</v>
      </c>
      <c r="F100" s="5">
        <v>16</v>
      </c>
      <c r="G100" s="5">
        <v>19</v>
      </c>
      <c r="H100" s="5">
        <v>27</v>
      </c>
      <c r="I100" s="5" t="s">
        <v>132</v>
      </c>
      <c r="J100" s="5">
        <v>93</v>
      </c>
      <c r="K100" s="5">
        <v>53</v>
      </c>
      <c r="L100" s="5">
        <v>0</v>
      </c>
      <c r="M100" s="5" t="s">
        <v>138</v>
      </c>
      <c r="N100" s="39" t="s">
        <v>1245</v>
      </c>
      <c r="O100" t="s">
        <v>107</v>
      </c>
      <c r="P100" s="7">
        <f t="shared" si="6"/>
        <v>16.324166666666667</v>
      </c>
      <c r="Q100" s="7">
        <f t="shared" si="7"/>
        <v>-93.88333333333334</v>
      </c>
      <c r="R100" s="7" t="str">
        <f t="shared" si="8"/>
        <v>16º19′27″ N</v>
      </c>
      <c r="S100" s="5" t="str">
        <f t="shared" si="9"/>
        <v>093º53′00″ W</v>
      </c>
      <c r="T100" s="5" t="str">
        <f t="shared" si="10"/>
        <v>16º19.45′N</v>
      </c>
      <c r="U100" s="5" t="str">
        <f t="shared" si="11"/>
        <v>093º53.00′W</v>
      </c>
    </row>
    <row r="101" spans="1:21" x14ac:dyDescent="0.2">
      <c r="A101" s="5">
        <v>57</v>
      </c>
      <c r="B101" s="11" t="s">
        <v>836</v>
      </c>
      <c r="C101" s="9" t="s">
        <v>263</v>
      </c>
      <c r="D101" s="9" t="s">
        <v>390</v>
      </c>
      <c r="E101" s="9" t="s">
        <v>391</v>
      </c>
      <c r="F101" s="5">
        <v>17</v>
      </c>
      <c r="G101" s="5">
        <v>2</v>
      </c>
      <c r="H101" s="5">
        <v>14</v>
      </c>
      <c r="I101" s="5" t="s">
        <v>132</v>
      </c>
      <c r="J101" s="5">
        <v>93</v>
      </c>
      <c r="K101" s="5">
        <v>48</v>
      </c>
      <c r="L101" s="5">
        <v>31</v>
      </c>
      <c r="M101" s="5" t="s">
        <v>138</v>
      </c>
      <c r="N101" s="39" t="s">
        <v>1245</v>
      </c>
      <c r="O101" t="s">
        <v>107</v>
      </c>
      <c r="P101" s="7">
        <f t="shared" si="6"/>
        <v>17.037222222222223</v>
      </c>
      <c r="Q101" s="7">
        <f t="shared" si="7"/>
        <v>-93.808611111111105</v>
      </c>
      <c r="R101" s="7" t="str">
        <f t="shared" si="8"/>
        <v>17º02′14″ N</v>
      </c>
      <c r="S101" s="5" t="str">
        <f t="shared" si="9"/>
        <v>093º48′31″ W</v>
      </c>
      <c r="T101" s="5" t="str">
        <f t="shared" si="10"/>
        <v>17º02.23′N</v>
      </c>
      <c r="U101" s="5" t="str">
        <f t="shared" si="11"/>
        <v>093º48.52′W</v>
      </c>
    </row>
    <row r="102" spans="1:21" x14ac:dyDescent="0.2">
      <c r="A102" s="5">
        <v>90</v>
      </c>
      <c r="B102" s="11" t="s">
        <v>836</v>
      </c>
      <c r="C102" s="9" t="s">
        <v>263</v>
      </c>
      <c r="D102" s="9" t="s">
        <v>390</v>
      </c>
      <c r="E102" s="9" t="s">
        <v>504</v>
      </c>
      <c r="F102" s="5">
        <v>14</v>
      </c>
      <c r="G102" s="5">
        <v>44</v>
      </c>
      <c r="H102" s="5">
        <v>35</v>
      </c>
      <c r="I102" s="5" t="s">
        <v>132</v>
      </c>
      <c r="J102" s="5">
        <v>92</v>
      </c>
      <c r="K102" s="5">
        <v>25</v>
      </c>
      <c r="L102" s="5">
        <v>41</v>
      </c>
      <c r="M102" s="5" t="s">
        <v>138</v>
      </c>
      <c r="N102" s="39" t="s">
        <v>1245</v>
      </c>
      <c r="O102" t="s">
        <v>107</v>
      </c>
      <c r="P102" s="7">
        <f t="shared" si="6"/>
        <v>14.743055555555555</v>
      </c>
      <c r="Q102" s="7">
        <f t="shared" si="7"/>
        <v>-92.428055555555559</v>
      </c>
      <c r="R102" s="7" t="str">
        <f t="shared" si="8"/>
        <v>14º44′35″ N</v>
      </c>
      <c r="S102" s="5" t="str">
        <f t="shared" si="9"/>
        <v>092º25′41″ W</v>
      </c>
      <c r="T102" s="5" t="str">
        <f t="shared" si="10"/>
        <v>14º44.58′N</v>
      </c>
      <c r="U102" s="5" t="str">
        <f t="shared" si="11"/>
        <v>092º25.68′W</v>
      </c>
    </row>
    <row r="103" spans="1:21" x14ac:dyDescent="0.2">
      <c r="A103" s="5">
        <v>127</v>
      </c>
      <c r="B103" s="11" t="s">
        <v>836</v>
      </c>
      <c r="C103" s="9" t="s">
        <v>263</v>
      </c>
      <c r="D103" s="9" t="s">
        <v>610</v>
      </c>
      <c r="E103" s="9" t="s">
        <v>611</v>
      </c>
      <c r="F103" s="5">
        <v>19</v>
      </c>
      <c r="G103" s="5">
        <v>11</v>
      </c>
      <c r="H103" s="5">
        <v>37.14</v>
      </c>
      <c r="I103" s="5" t="s">
        <v>132</v>
      </c>
      <c r="J103" s="5">
        <v>104</v>
      </c>
      <c r="K103" s="5">
        <v>6</v>
      </c>
      <c r="L103" s="5">
        <v>8.76</v>
      </c>
      <c r="M103" s="5" t="s">
        <v>138</v>
      </c>
      <c r="N103" s="39" t="s">
        <v>1189</v>
      </c>
      <c r="O103" t="s">
        <v>107</v>
      </c>
      <c r="P103" s="7">
        <f t="shared" si="6"/>
        <v>19.193650000000002</v>
      </c>
      <c r="Q103" s="7">
        <f t="shared" si="7"/>
        <v>-104.10243333333332</v>
      </c>
      <c r="R103" s="7" t="str">
        <f t="shared" si="8"/>
        <v>19º11′37″ N</v>
      </c>
      <c r="S103" s="5" t="str">
        <f t="shared" si="9"/>
        <v>104º06′09″ W</v>
      </c>
      <c r="T103" s="5" t="str">
        <f t="shared" si="10"/>
        <v>19º11.62′N</v>
      </c>
      <c r="U103" s="5" t="str">
        <f t="shared" si="11"/>
        <v>104º06.15′W</v>
      </c>
    </row>
    <row r="104" spans="1:21" x14ac:dyDescent="0.2">
      <c r="A104" s="5">
        <v>200</v>
      </c>
      <c r="B104" s="11" t="s">
        <v>836</v>
      </c>
      <c r="C104" s="9" t="s">
        <v>263</v>
      </c>
      <c r="D104" s="9" t="s">
        <v>610</v>
      </c>
      <c r="E104" s="9" t="s">
        <v>817</v>
      </c>
      <c r="F104" s="5">
        <v>19</v>
      </c>
      <c r="G104" s="5">
        <v>3</v>
      </c>
      <c r="H104" s="5">
        <v>57.66</v>
      </c>
      <c r="I104" s="5" t="s">
        <v>132</v>
      </c>
      <c r="J104" s="5">
        <v>104</v>
      </c>
      <c r="K104" s="5">
        <v>3</v>
      </c>
      <c r="L104" s="5">
        <v>9.1199999999999992</v>
      </c>
      <c r="M104" s="5" t="s">
        <v>138</v>
      </c>
      <c r="N104" s="38" t="s">
        <v>1241</v>
      </c>
      <c r="O104" t="s">
        <v>107</v>
      </c>
      <c r="P104" s="7">
        <f t="shared" si="6"/>
        <v>19.066016666666666</v>
      </c>
      <c r="Q104" s="7">
        <f t="shared" si="7"/>
        <v>-104.05253333333333</v>
      </c>
      <c r="R104" s="7" t="str">
        <f t="shared" si="8"/>
        <v>19º03′58″ N</v>
      </c>
      <c r="S104" s="5" t="str">
        <f t="shared" si="9"/>
        <v>104º03′09″ W</v>
      </c>
      <c r="T104" s="5" t="str">
        <f t="shared" si="10"/>
        <v>19º03.96′N</v>
      </c>
      <c r="U104" s="5" t="str">
        <f t="shared" si="11"/>
        <v>104º03.15′W</v>
      </c>
    </row>
    <row r="105" spans="1:21" x14ac:dyDescent="0.2">
      <c r="A105" s="5">
        <v>129</v>
      </c>
      <c r="B105" s="11" t="s">
        <v>836</v>
      </c>
      <c r="C105" s="9" t="s">
        <v>263</v>
      </c>
      <c r="D105" s="9" t="s">
        <v>265</v>
      </c>
      <c r="E105" s="9" t="s">
        <v>613</v>
      </c>
      <c r="F105" s="5">
        <v>18</v>
      </c>
      <c r="G105" s="5">
        <v>14</v>
      </c>
      <c r="H105" s="5">
        <v>0</v>
      </c>
      <c r="I105" s="5" t="s">
        <v>132</v>
      </c>
      <c r="J105" s="5">
        <v>99</v>
      </c>
      <c r="K105" s="5">
        <v>40</v>
      </c>
      <c r="L105" s="5">
        <v>0</v>
      </c>
      <c r="M105" s="5" t="s">
        <v>138</v>
      </c>
      <c r="N105" s="45" t="s">
        <v>163</v>
      </c>
      <c r="O105" t="s">
        <v>107</v>
      </c>
      <c r="P105" s="7">
        <f t="shared" si="6"/>
        <v>18.233333333333334</v>
      </c>
      <c r="Q105" s="7">
        <f t="shared" si="7"/>
        <v>-99.666666666666671</v>
      </c>
      <c r="R105" s="7" t="str">
        <f t="shared" si="8"/>
        <v>18º14′00″ N</v>
      </c>
      <c r="S105" s="5" t="str">
        <f t="shared" si="9"/>
        <v>099º40′00″ W</v>
      </c>
      <c r="T105" s="5" t="str">
        <f t="shared" si="10"/>
        <v>18º14.00′N</v>
      </c>
      <c r="U105" s="5" t="str">
        <f t="shared" si="11"/>
        <v>099º40.00′W</v>
      </c>
    </row>
    <row r="106" spans="1:21" x14ac:dyDescent="0.2">
      <c r="A106" s="5">
        <v>23</v>
      </c>
      <c r="B106" s="11" t="s">
        <v>836</v>
      </c>
      <c r="C106" s="9" t="s">
        <v>263</v>
      </c>
      <c r="D106" s="9" t="s">
        <v>265</v>
      </c>
      <c r="E106" s="9" t="s">
        <v>266</v>
      </c>
      <c r="F106" s="5">
        <v>17</v>
      </c>
      <c r="G106" s="5">
        <v>55</v>
      </c>
      <c r="H106" s="5">
        <v>26.17</v>
      </c>
      <c r="I106" s="5" t="s">
        <v>132</v>
      </c>
      <c r="J106" s="5">
        <v>99</v>
      </c>
      <c r="K106" s="5">
        <v>33</v>
      </c>
      <c r="L106" s="5">
        <v>47.3</v>
      </c>
      <c r="M106" s="5" t="s">
        <v>138</v>
      </c>
      <c r="N106" s="37" t="s">
        <v>1189</v>
      </c>
      <c r="O106" t="s">
        <v>107</v>
      </c>
      <c r="P106" s="7">
        <f t="shared" si="6"/>
        <v>17.923936111111111</v>
      </c>
      <c r="Q106" s="7">
        <f t="shared" si="7"/>
        <v>-99.563138888888886</v>
      </c>
      <c r="R106" s="7" t="str">
        <f t="shared" si="8"/>
        <v>17º55′26″ N</v>
      </c>
      <c r="S106" s="5" t="str">
        <f t="shared" si="9"/>
        <v>099º33′47″ W</v>
      </c>
      <c r="T106" s="5" t="str">
        <f t="shared" si="10"/>
        <v>17º55.44′N</v>
      </c>
      <c r="U106" s="5" t="str">
        <f t="shared" si="11"/>
        <v>099º33.79′W</v>
      </c>
    </row>
    <row r="107" spans="1:21" x14ac:dyDescent="0.2">
      <c r="A107" s="5">
        <v>132</v>
      </c>
      <c r="B107" s="11" t="s">
        <v>836</v>
      </c>
      <c r="C107" s="9" t="s">
        <v>263</v>
      </c>
      <c r="D107" s="9" t="s">
        <v>475</v>
      </c>
      <c r="E107" s="9" t="s">
        <v>616</v>
      </c>
      <c r="F107" s="5">
        <v>20</v>
      </c>
      <c r="G107" s="5">
        <v>28</v>
      </c>
      <c r="H107" s="5">
        <v>19</v>
      </c>
      <c r="I107" s="5" t="s">
        <v>132</v>
      </c>
      <c r="J107" s="5">
        <v>98</v>
      </c>
      <c r="K107" s="5">
        <v>42</v>
      </c>
      <c r="L107" s="5">
        <v>14</v>
      </c>
      <c r="M107" s="5" t="s">
        <v>138</v>
      </c>
      <c r="N107" s="45" t="s">
        <v>163</v>
      </c>
      <c r="O107" t="s">
        <v>107</v>
      </c>
      <c r="P107" s="7">
        <f t="shared" si="6"/>
        <v>20.471944444444443</v>
      </c>
      <c r="Q107" s="7">
        <f t="shared" si="7"/>
        <v>-98.703888888888898</v>
      </c>
      <c r="R107" s="7" t="str">
        <f t="shared" si="8"/>
        <v>20º28′19″ N</v>
      </c>
      <c r="S107" s="5" t="str">
        <f t="shared" si="9"/>
        <v>098º42′14″ W</v>
      </c>
      <c r="T107" s="5" t="str">
        <f t="shared" si="10"/>
        <v>20º28.32′N</v>
      </c>
      <c r="U107" s="5" t="str">
        <f t="shared" si="11"/>
        <v>098º42.23′W</v>
      </c>
    </row>
    <row r="108" spans="1:21" x14ac:dyDescent="0.2">
      <c r="A108" s="5">
        <v>131</v>
      </c>
      <c r="B108" s="11" t="s">
        <v>836</v>
      </c>
      <c r="C108" s="9" t="s">
        <v>263</v>
      </c>
      <c r="D108" s="9" t="s">
        <v>475</v>
      </c>
      <c r="E108" s="9" t="s">
        <v>615</v>
      </c>
      <c r="F108" s="5">
        <v>20</v>
      </c>
      <c r="G108" s="5">
        <v>56</v>
      </c>
      <c r="H108" s="5">
        <v>12.948</v>
      </c>
      <c r="I108" s="5" t="s">
        <v>132</v>
      </c>
      <c r="J108" s="5">
        <v>98</v>
      </c>
      <c r="K108" s="5">
        <v>17</v>
      </c>
      <c r="L108" s="5">
        <v>2.2200000000000002</v>
      </c>
      <c r="M108" s="5" t="s">
        <v>138</v>
      </c>
      <c r="N108" s="39" t="s">
        <v>1246</v>
      </c>
      <c r="O108" t="s">
        <v>107</v>
      </c>
      <c r="P108" s="7">
        <f t="shared" si="6"/>
        <v>20.93693</v>
      </c>
      <c r="Q108" s="7">
        <f t="shared" si="7"/>
        <v>-98.283950000000004</v>
      </c>
      <c r="R108" s="7" t="str">
        <f t="shared" si="8"/>
        <v>20º56′13″ N</v>
      </c>
      <c r="S108" s="5" t="str">
        <f t="shared" si="9"/>
        <v>098º17′02″ W</v>
      </c>
      <c r="T108" s="5" t="str">
        <f t="shared" si="10"/>
        <v>20º56.22′N</v>
      </c>
      <c r="U108" s="5" t="str">
        <f t="shared" si="11"/>
        <v>098º17.04′W</v>
      </c>
    </row>
    <row r="109" spans="1:21" x14ac:dyDescent="0.2">
      <c r="A109" s="5">
        <v>133</v>
      </c>
      <c r="B109" s="11" t="s">
        <v>836</v>
      </c>
      <c r="C109" s="9" t="s">
        <v>263</v>
      </c>
      <c r="D109" s="9" t="s">
        <v>475</v>
      </c>
      <c r="E109" s="9" t="s">
        <v>617</v>
      </c>
      <c r="F109" s="5">
        <v>20</v>
      </c>
      <c r="G109" s="5">
        <v>36</v>
      </c>
      <c r="H109" s="5">
        <v>0</v>
      </c>
      <c r="I109" s="5" t="s">
        <v>132</v>
      </c>
      <c r="J109" s="5">
        <v>98</v>
      </c>
      <c r="K109" s="5">
        <v>46</v>
      </c>
      <c r="L109" s="5">
        <v>0</v>
      </c>
      <c r="M109" s="5" t="s">
        <v>138</v>
      </c>
      <c r="N109" s="45" t="s">
        <v>163</v>
      </c>
      <c r="O109" t="s">
        <v>107</v>
      </c>
      <c r="P109" s="7">
        <f t="shared" si="6"/>
        <v>20.6</v>
      </c>
      <c r="Q109" s="7">
        <f t="shared" si="7"/>
        <v>-98.766666666666666</v>
      </c>
      <c r="R109" s="7" t="str">
        <f t="shared" si="8"/>
        <v>20º36′00″ N</v>
      </c>
      <c r="S109" s="5" t="str">
        <f t="shared" si="9"/>
        <v>098º46′00″ W</v>
      </c>
      <c r="T109" s="5" t="str">
        <f t="shared" si="10"/>
        <v>20º36.00′N</v>
      </c>
      <c r="U109" s="5" t="str">
        <f t="shared" si="11"/>
        <v>098º46.00′W</v>
      </c>
    </row>
    <row r="110" spans="1:21" x14ac:dyDescent="0.2">
      <c r="A110" s="5">
        <v>79</v>
      </c>
      <c r="B110" s="11" t="s">
        <v>836</v>
      </c>
      <c r="C110" s="9" t="s">
        <v>263</v>
      </c>
      <c r="D110" s="9" t="s">
        <v>475</v>
      </c>
      <c r="E110" s="9" t="s">
        <v>476</v>
      </c>
      <c r="F110" s="5">
        <v>21</v>
      </c>
      <c r="G110" s="5">
        <v>18</v>
      </c>
      <c r="H110" s="5">
        <v>54</v>
      </c>
      <c r="I110" s="5" t="s">
        <v>132</v>
      </c>
      <c r="J110" s="5">
        <v>98</v>
      </c>
      <c r="K110" s="5">
        <v>34</v>
      </c>
      <c r="L110" s="5">
        <v>98</v>
      </c>
      <c r="M110" s="5" t="s">
        <v>138</v>
      </c>
      <c r="N110" s="37" t="s">
        <v>1247</v>
      </c>
      <c r="O110" t="s">
        <v>107</v>
      </c>
      <c r="P110" s="7">
        <f t="shared" si="6"/>
        <v>21.315000000000001</v>
      </c>
      <c r="Q110" s="7">
        <f t="shared" si="7"/>
        <v>-98.593888888888884</v>
      </c>
      <c r="R110" s="7" t="str">
        <f t="shared" si="8"/>
        <v>21º18′54″ N</v>
      </c>
      <c r="S110" s="5" t="str">
        <f t="shared" si="9"/>
        <v>098º34′98″ W</v>
      </c>
      <c r="T110" s="5" t="str">
        <f t="shared" si="10"/>
        <v>21º18.90′N</v>
      </c>
      <c r="U110" s="5" t="str">
        <f t="shared" si="11"/>
        <v>098º34.163′W</v>
      </c>
    </row>
    <row r="111" spans="1:21" x14ac:dyDescent="0.2">
      <c r="A111" s="5">
        <v>80</v>
      </c>
      <c r="B111" s="11" t="s">
        <v>836</v>
      </c>
      <c r="C111" s="9" t="s">
        <v>263</v>
      </c>
      <c r="D111" s="9" t="s">
        <v>475</v>
      </c>
      <c r="E111" s="9" t="s">
        <v>477</v>
      </c>
      <c r="F111" s="5">
        <v>20</v>
      </c>
      <c r="G111" s="5">
        <v>54</v>
      </c>
      <c r="H111" s="5">
        <v>25</v>
      </c>
      <c r="I111" s="5" t="s">
        <v>132</v>
      </c>
      <c r="J111" s="5">
        <v>98</v>
      </c>
      <c r="K111" s="5">
        <v>26</v>
      </c>
      <c r="L111" s="5">
        <v>24</v>
      </c>
      <c r="M111" s="5" t="s">
        <v>138</v>
      </c>
      <c r="N111" s="37" t="s">
        <v>1247</v>
      </c>
      <c r="O111" t="s">
        <v>107</v>
      </c>
      <c r="P111" s="7">
        <f t="shared" si="6"/>
        <v>20.906944444444441</v>
      </c>
      <c r="Q111" s="7">
        <f t="shared" si="7"/>
        <v>-98.44</v>
      </c>
      <c r="R111" s="7" t="str">
        <f t="shared" si="8"/>
        <v>20º54′25″ N</v>
      </c>
      <c r="S111" s="5" t="str">
        <f t="shared" si="9"/>
        <v>098º26′24″ W</v>
      </c>
      <c r="T111" s="5" t="str">
        <f t="shared" si="10"/>
        <v>20º54.42′N</v>
      </c>
      <c r="U111" s="5" t="str">
        <f t="shared" si="11"/>
        <v>098º26.40′W</v>
      </c>
    </row>
    <row r="112" spans="1:21" x14ac:dyDescent="0.2">
      <c r="A112" s="5">
        <v>126</v>
      </c>
      <c r="B112" s="11" t="s">
        <v>836</v>
      </c>
      <c r="C112" s="9" t="s">
        <v>263</v>
      </c>
      <c r="D112" s="9" t="s">
        <v>609</v>
      </c>
      <c r="E112" s="9" t="s">
        <v>107</v>
      </c>
      <c r="F112" s="5" t="s">
        <v>107</v>
      </c>
      <c r="G112" s="5" t="s">
        <v>107</v>
      </c>
      <c r="H112" s="5" t="s">
        <v>107</v>
      </c>
      <c r="I112" s="5" t="s">
        <v>107</v>
      </c>
      <c r="J112" s="5" t="s">
        <v>107</v>
      </c>
      <c r="K112" s="5" t="s">
        <v>107</v>
      </c>
      <c r="L112" s="5" t="s">
        <v>107</v>
      </c>
      <c r="M112" s="5" t="s">
        <v>107</v>
      </c>
      <c r="N112" s="45" t="s">
        <v>107</v>
      </c>
      <c r="O112" t="s">
        <v>107</v>
      </c>
      <c r="P112" s="7" t="str">
        <f t="shared" si="6"/>
        <v>-</v>
      </c>
      <c r="Q112" s="7" t="str">
        <f t="shared" si="7"/>
        <v>-</v>
      </c>
      <c r="R112" s="7" t="str">
        <f t="shared" si="8"/>
        <v>-</v>
      </c>
      <c r="S112" s="5" t="str">
        <f t="shared" si="9"/>
        <v>-</v>
      </c>
      <c r="T112" s="5" t="str">
        <f t="shared" si="10"/>
        <v>-</v>
      </c>
      <c r="U112" s="5" t="str">
        <f t="shared" si="11"/>
        <v>-</v>
      </c>
    </row>
    <row r="113" spans="1:21" x14ac:dyDescent="0.2">
      <c r="A113" s="5">
        <v>199</v>
      </c>
      <c r="B113" s="11" t="s">
        <v>836</v>
      </c>
      <c r="C113" s="9" t="s">
        <v>263</v>
      </c>
      <c r="D113" s="9" t="s">
        <v>609</v>
      </c>
      <c r="E113" s="9" t="s">
        <v>816</v>
      </c>
      <c r="F113" s="5">
        <v>20</v>
      </c>
      <c r="G113" s="5">
        <v>40</v>
      </c>
      <c r="H113" s="5">
        <v>32.76</v>
      </c>
      <c r="I113" s="5" t="s">
        <v>132</v>
      </c>
      <c r="J113" s="5">
        <v>105</v>
      </c>
      <c r="K113" s="5">
        <v>13</v>
      </c>
      <c r="L113" s="5">
        <v>58.7</v>
      </c>
      <c r="M113" s="5" t="s">
        <v>138</v>
      </c>
      <c r="N113" s="38" t="s">
        <v>1241</v>
      </c>
      <c r="O113" t="s">
        <v>107</v>
      </c>
      <c r="P113" s="7">
        <f t="shared" si="6"/>
        <v>20.675766666666668</v>
      </c>
      <c r="Q113" s="7">
        <f t="shared" si="7"/>
        <v>-105.23297222222223</v>
      </c>
      <c r="R113" s="7" t="str">
        <f t="shared" si="8"/>
        <v>20º40′33″ N</v>
      </c>
      <c r="S113" s="5" t="str">
        <f t="shared" si="9"/>
        <v>105º13′59″ W</v>
      </c>
      <c r="T113" s="5" t="str">
        <f t="shared" si="10"/>
        <v>20º40.55′N</v>
      </c>
      <c r="U113" s="5" t="str">
        <f t="shared" si="11"/>
        <v>105º13.98′W</v>
      </c>
    </row>
    <row r="114" spans="1:21" x14ac:dyDescent="0.2">
      <c r="A114" s="5">
        <v>198</v>
      </c>
      <c r="B114" s="11" t="s">
        <v>836</v>
      </c>
      <c r="C114" s="9" t="s">
        <v>263</v>
      </c>
      <c r="D114" s="9" t="s">
        <v>609</v>
      </c>
      <c r="E114" s="9" t="s">
        <v>815</v>
      </c>
      <c r="F114" s="5">
        <v>20</v>
      </c>
      <c r="G114" s="5">
        <v>40</v>
      </c>
      <c r="H114" s="5">
        <v>17.48</v>
      </c>
      <c r="I114" s="5" t="s">
        <v>132</v>
      </c>
      <c r="J114" s="5">
        <v>105</v>
      </c>
      <c r="K114" s="5">
        <v>14</v>
      </c>
      <c r="L114" s="5">
        <v>40.409999999999997</v>
      </c>
      <c r="M114" s="5" t="s">
        <v>138</v>
      </c>
      <c r="N114" s="38" t="s">
        <v>1241</v>
      </c>
      <c r="O114" t="s">
        <v>107</v>
      </c>
      <c r="P114" s="7">
        <f t="shared" si="6"/>
        <v>20.671522222222222</v>
      </c>
      <c r="Q114" s="7">
        <f t="shared" si="7"/>
        <v>-105.24455833333333</v>
      </c>
      <c r="R114" s="7" t="str">
        <f t="shared" si="8"/>
        <v>20º40′17″ N</v>
      </c>
      <c r="S114" s="5" t="str">
        <f t="shared" si="9"/>
        <v>105º14′40″ W</v>
      </c>
      <c r="T114" s="5" t="str">
        <f t="shared" si="10"/>
        <v>20º40.29′N</v>
      </c>
      <c r="U114" s="5" t="str">
        <f t="shared" si="11"/>
        <v>105º14.67′W</v>
      </c>
    </row>
    <row r="115" spans="1:21" x14ac:dyDescent="0.2">
      <c r="A115" s="5">
        <v>202</v>
      </c>
      <c r="B115" s="11" t="s">
        <v>836</v>
      </c>
      <c r="C115" s="9" t="s">
        <v>263</v>
      </c>
      <c r="D115" s="9" t="s">
        <v>609</v>
      </c>
      <c r="E115" s="9" t="s">
        <v>819</v>
      </c>
      <c r="F115" s="5">
        <v>20</v>
      </c>
      <c r="G115" s="5">
        <v>39</v>
      </c>
      <c r="H115" s="5">
        <v>10.029999999999999</v>
      </c>
      <c r="I115" s="5" t="s">
        <v>132</v>
      </c>
      <c r="J115" s="5">
        <v>103</v>
      </c>
      <c r="K115" s="5">
        <v>31</v>
      </c>
      <c r="L115" s="5">
        <v>28.14</v>
      </c>
      <c r="M115" s="5" t="s">
        <v>138</v>
      </c>
      <c r="N115" s="38" t="s">
        <v>1241</v>
      </c>
      <c r="O115" t="s">
        <v>107</v>
      </c>
      <c r="P115" s="7">
        <f t="shared" si="6"/>
        <v>20.652786111111109</v>
      </c>
      <c r="Q115" s="7">
        <f t="shared" si="7"/>
        <v>-103.52448333333334</v>
      </c>
      <c r="R115" s="7" t="str">
        <f t="shared" si="8"/>
        <v>20º39′10″ N</v>
      </c>
      <c r="S115" s="5" t="str">
        <f t="shared" si="9"/>
        <v>103º31′28″ W</v>
      </c>
      <c r="T115" s="5" t="str">
        <f t="shared" si="10"/>
        <v>20º39.17′N</v>
      </c>
      <c r="U115" s="5" t="str">
        <f t="shared" si="11"/>
        <v>103º31.47′W</v>
      </c>
    </row>
    <row r="116" spans="1:21" x14ac:dyDescent="0.2">
      <c r="A116" s="5">
        <v>201</v>
      </c>
      <c r="B116" s="11" t="s">
        <v>836</v>
      </c>
      <c r="C116" s="9" t="s">
        <v>263</v>
      </c>
      <c r="D116" s="9" t="s">
        <v>527</v>
      </c>
      <c r="E116" s="9" t="s">
        <v>818</v>
      </c>
      <c r="F116" s="5">
        <v>16</v>
      </c>
      <c r="G116" s="5">
        <v>36</v>
      </c>
      <c r="H116" s="5">
        <v>30.88</v>
      </c>
      <c r="I116" s="5" t="s">
        <v>132</v>
      </c>
      <c r="J116" s="5">
        <v>94</v>
      </c>
      <c r="K116" s="5">
        <v>47</v>
      </c>
      <c r="L116" s="5">
        <v>21.7</v>
      </c>
      <c r="M116" s="5" t="s">
        <v>138</v>
      </c>
      <c r="N116" s="38" t="s">
        <v>1241</v>
      </c>
      <c r="O116" t="s">
        <v>107</v>
      </c>
      <c r="P116" s="7">
        <f t="shared" si="6"/>
        <v>16.608577777777779</v>
      </c>
      <c r="Q116" s="7">
        <f t="shared" si="7"/>
        <v>-94.789361111111106</v>
      </c>
      <c r="R116" s="7" t="str">
        <f t="shared" si="8"/>
        <v>16º36′31″ N</v>
      </c>
      <c r="S116" s="5" t="str">
        <f t="shared" si="9"/>
        <v>094º47′22″ W</v>
      </c>
      <c r="T116" s="5" t="str">
        <f t="shared" si="10"/>
        <v>16º36.51′N</v>
      </c>
      <c r="U116" s="5" t="str">
        <f t="shared" si="11"/>
        <v>094º47.36′W</v>
      </c>
    </row>
    <row r="117" spans="1:21" x14ac:dyDescent="0.2">
      <c r="A117" s="5">
        <v>100</v>
      </c>
      <c r="B117" s="11" t="s">
        <v>836</v>
      </c>
      <c r="C117" s="9" t="s">
        <v>263</v>
      </c>
      <c r="D117" s="9" t="s">
        <v>527</v>
      </c>
      <c r="E117" s="9" t="s">
        <v>528</v>
      </c>
      <c r="F117" s="5">
        <v>16</v>
      </c>
      <c r="G117" s="5">
        <v>30</v>
      </c>
      <c r="H117" s="5">
        <v>21.87</v>
      </c>
      <c r="I117" s="5" t="s">
        <v>132</v>
      </c>
      <c r="J117" s="5">
        <v>94</v>
      </c>
      <c r="K117" s="5">
        <v>18</v>
      </c>
      <c r="L117" s="5">
        <v>29.19</v>
      </c>
      <c r="M117" s="5" t="s">
        <v>138</v>
      </c>
      <c r="N117" s="37" t="s">
        <v>1248</v>
      </c>
      <c r="O117" t="s">
        <v>107</v>
      </c>
      <c r="P117" s="7">
        <f t="shared" si="6"/>
        <v>16.506074999999999</v>
      </c>
      <c r="Q117" s="7">
        <f t="shared" si="7"/>
        <v>-94.308108333333337</v>
      </c>
      <c r="R117" s="7" t="str">
        <f t="shared" si="8"/>
        <v>16º30′22″ N</v>
      </c>
      <c r="S117" s="5" t="str">
        <f t="shared" si="9"/>
        <v>094º18′29″ W</v>
      </c>
      <c r="T117" s="5" t="str">
        <f t="shared" si="10"/>
        <v>16º30.36′N</v>
      </c>
      <c r="U117" s="5" t="str">
        <f t="shared" si="11"/>
        <v>094º18.49′W</v>
      </c>
    </row>
    <row r="118" spans="1:21" x14ac:dyDescent="0.2">
      <c r="A118" s="5">
        <v>130</v>
      </c>
      <c r="B118" s="11" t="s">
        <v>836</v>
      </c>
      <c r="C118" s="9" t="s">
        <v>263</v>
      </c>
      <c r="D118" s="9" t="s">
        <v>614</v>
      </c>
      <c r="E118" s="9" t="s">
        <v>614</v>
      </c>
      <c r="F118" s="5">
        <v>19</v>
      </c>
      <c r="G118" s="5">
        <v>2</v>
      </c>
      <c r="H118" s="5">
        <v>28.68</v>
      </c>
      <c r="I118" s="5" t="s">
        <v>132</v>
      </c>
      <c r="J118" s="5">
        <v>98</v>
      </c>
      <c r="K118" s="5">
        <v>12</v>
      </c>
      <c r="L118" s="5">
        <v>22.32</v>
      </c>
      <c r="M118" s="5" t="s">
        <v>138</v>
      </c>
      <c r="N118" s="45" t="s">
        <v>163</v>
      </c>
      <c r="O118" t="s">
        <v>107</v>
      </c>
      <c r="P118" s="7">
        <f t="shared" si="6"/>
        <v>19.041300000000003</v>
      </c>
      <c r="Q118" s="7">
        <f t="shared" si="7"/>
        <v>-98.20620000000001</v>
      </c>
      <c r="R118" s="7" t="str">
        <f t="shared" si="8"/>
        <v>19º02′29″ N</v>
      </c>
      <c r="S118" s="5" t="str">
        <f t="shared" si="9"/>
        <v>098º12′22″ W</v>
      </c>
      <c r="T118" s="5" t="str">
        <f t="shared" si="10"/>
        <v>19º02.48′N</v>
      </c>
      <c r="U118" s="5" t="str">
        <f t="shared" si="11"/>
        <v>098º12.37′W</v>
      </c>
    </row>
    <row r="119" spans="1:21" x14ac:dyDescent="0.2">
      <c r="A119" s="5">
        <v>125</v>
      </c>
      <c r="B119" s="11" t="s">
        <v>836</v>
      </c>
      <c r="C119" s="9" t="s">
        <v>263</v>
      </c>
      <c r="D119" s="9" t="s">
        <v>585</v>
      </c>
      <c r="E119" s="9" t="s">
        <v>107</v>
      </c>
      <c r="F119" s="5" t="s">
        <v>107</v>
      </c>
      <c r="G119" s="5" t="s">
        <v>107</v>
      </c>
      <c r="H119" s="5" t="s">
        <v>107</v>
      </c>
      <c r="I119" s="5" t="s">
        <v>107</v>
      </c>
      <c r="J119" s="5" t="s">
        <v>107</v>
      </c>
      <c r="K119" s="5" t="s">
        <v>107</v>
      </c>
      <c r="L119" s="5" t="s">
        <v>107</v>
      </c>
      <c r="M119" s="5" t="s">
        <v>107</v>
      </c>
      <c r="N119" s="45" t="s">
        <v>107</v>
      </c>
      <c r="O119" t="s">
        <v>107</v>
      </c>
      <c r="P119" s="7" t="str">
        <f t="shared" si="6"/>
        <v>-</v>
      </c>
      <c r="Q119" s="7" t="str">
        <f t="shared" si="7"/>
        <v>-</v>
      </c>
      <c r="R119" s="7" t="str">
        <f t="shared" si="8"/>
        <v>-</v>
      </c>
      <c r="S119" s="5" t="str">
        <f t="shared" si="9"/>
        <v>-</v>
      </c>
      <c r="T119" s="5" t="str">
        <f t="shared" si="10"/>
        <v>-</v>
      </c>
      <c r="U119" s="5" t="str">
        <f t="shared" si="11"/>
        <v>-</v>
      </c>
    </row>
    <row r="120" spans="1:21" x14ac:dyDescent="0.2">
      <c r="A120" s="5">
        <v>117</v>
      </c>
      <c r="B120" s="11" t="s">
        <v>836</v>
      </c>
      <c r="C120" s="9" t="s">
        <v>263</v>
      </c>
      <c r="D120" s="9" t="s">
        <v>585</v>
      </c>
      <c r="E120" s="9" t="s">
        <v>586</v>
      </c>
      <c r="F120" s="5">
        <v>19</v>
      </c>
      <c r="G120" s="5">
        <v>59</v>
      </c>
      <c r="H120" s="5">
        <v>31</v>
      </c>
      <c r="I120" s="5" t="s">
        <v>132</v>
      </c>
      <c r="J120" s="5">
        <v>87</v>
      </c>
      <c r="K120" s="5">
        <v>28</v>
      </c>
      <c r="L120" s="5">
        <v>16</v>
      </c>
      <c r="M120" s="5" t="s">
        <v>138</v>
      </c>
      <c r="N120" s="37" t="s">
        <v>1198</v>
      </c>
      <c r="O120" t="s">
        <v>107</v>
      </c>
      <c r="P120" s="7">
        <f t="shared" si="6"/>
        <v>19.991944444444446</v>
      </c>
      <c r="Q120" s="7">
        <f t="shared" si="7"/>
        <v>-87.471111111111114</v>
      </c>
      <c r="R120" s="7" t="str">
        <f t="shared" si="8"/>
        <v>19º59′31″ N</v>
      </c>
      <c r="S120" s="5" t="str">
        <f t="shared" si="9"/>
        <v>087º28′16″ W</v>
      </c>
      <c r="T120" s="5" t="str">
        <f t="shared" si="10"/>
        <v>19º59.52′N</v>
      </c>
      <c r="U120" s="5" t="str">
        <f t="shared" si="11"/>
        <v>087º28.27′W</v>
      </c>
    </row>
    <row r="121" spans="1:21" x14ac:dyDescent="0.2">
      <c r="A121" s="5">
        <v>69</v>
      </c>
      <c r="B121" s="11" t="s">
        <v>836</v>
      </c>
      <c r="C121" s="9" t="s">
        <v>263</v>
      </c>
      <c r="D121" s="9" t="s">
        <v>441</v>
      </c>
      <c r="E121" s="9" t="s">
        <v>442</v>
      </c>
      <c r="F121" s="5">
        <v>28</v>
      </c>
      <c r="G121" s="5">
        <v>22</v>
      </c>
      <c r="H121" s="5">
        <v>17</v>
      </c>
      <c r="I121" s="5" t="s">
        <v>132</v>
      </c>
      <c r="J121" s="5">
        <v>108</v>
      </c>
      <c r="K121" s="5">
        <v>55</v>
      </c>
      <c r="L121" s="5">
        <v>36</v>
      </c>
      <c r="M121" s="5" t="s">
        <v>138</v>
      </c>
      <c r="N121" s="45" t="s">
        <v>163</v>
      </c>
      <c r="O121" t="s">
        <v>107</v>
      </c>
      <c r="P121" s="7">
        <f t="shared" si="6"/>
        <v>28.371388888888891</v>
      </c>
      <c r="Q121" s="7">
        <f t="shared" si="7"/>
        <v>-108.92666666666668</v>
      </c>
      <c r="R121" s="7" t="str">
        <f t="shared" si="8"/>
        <v>28º22′17″ N</v>
      </c>
      <c r="S121" s="5" t="str">
        <f t="shared" si="9"/>
        <v>108º55′36″ W</v>
      </c>
      <c r="T121" s="5" t="str">
        <f t="shared" si="10"/>
        <v>28º22.28′N</v>
      </c>
      <c r="U121" s="5" t="str">
        <f t="shared" si="11"/>
        <v>108º55.60′W</v>
      </c>
    </row>
    <row r="122" spans="1:21" x14ac:dyDescent="0.2">
      <c r="A122" s="5">
        <v>47</v>
      </c>
      <c r="B122" s="11" t="s">
        <v>836</v>
      </c>
      <c r="C122" s="9" t="s">
        <v>263</v>
      </c>
      <c r="D122" s="9" t="s">
        <v>363</v>
      </c>
      <c r="E122" s="9" t="s">
        <v>364</v>
      </c>
      <c r="F122" s="5">
        <v>17</v>
      </c>
      <c r="G122" s="5">
        <v>59</v>
      </c>
      <c r="H122" s="5">
        <v>21</v>
      </c>
      <c r="I122" s="5" t="s">
        <v>132</v>
      </c>
      <c r="J122" s="5">
        <v>92</v>
      </c>
      <c r="K122" s="5">
        <v>58</v>
      </c>
      <c r="L122" s="5">
        <v>25</v>
      </c>
      <c r="M122" s="5" t="s">
        <v>138</v>
      </c>
      <c r="N122" s="37" t="s">
        <v>1249</v>
      </c>
      <c r="O122" t="s">
        <v>107</v>
      </c>
      <c r="P122" s="7">
        <f t="shared" si="6"/>
        <v>17.989166666666666</v>
      </c>
      <c r="Q122" s="7">
        <f t="shared" si="7"/>
        <v>-92.973611111111111</v>
      </c>
      <c r="R122" s="7" t="str">
        <f t="shared" si="8"/>
        <v>17º59′21″ N</v>
      </c>
      <c r="S122" s="5" t="str">
        <f t="shared" si="9"/>
        <v>092º58′25″ W</v>
      </c>
      <c r="T122" s="5" t="str">
        <f t="shared" si="10"/>
        <v>17º59.35′N</v>
      </c>
      <c r="U122" s="5" t="str">
        <f t="shared" si="11"/>
        <v>092º58.42′W</v>
      </c>
    </row>
    <row r="123" spans="1:21" x14ac:dyDescent="0.2">
      <c r="A123" s="5">
        <v>208</v>
      </c>
      <c r="B123" s="11" t="s">
        <v>836</v>
      </c>
      <c r="C123" s="9" t="s">
        <v>829</v>
      </c>
      <c r="D123" s="9" t="s">
        <v>834</v>
      </c>
      <c r="E123" s="9" t="s">
        <v>831</v>
      </c>
      <c r="F123" s="5">
        <v>9</v>
      </c>
      <c r="G123" s="5">
        <v>15</v>
      </c>
      <c r="H123" s="5">
        <v>0</v>
      </c>
      <c r="I123" s="5" t="s">
        <v>132</v>
      </c>
      <c r="J123" s="5">
        <v>79</v>
      </c>
      <c r="K123" s="5">
        <v>41</v>
      </c>
      <c r="L123" s="5">
        <v>24</v>
      </c>
      <c r="M123" s="5" t="s">
        <v>138</v>
      </c>
      <c r="N123" s="45" t="s">
        <v>163</v>
      </c>
      <c r="O123" t="s">
        <v>107</v>
      </c>
      <c r="P123" s="7">
        <f t="shared" si="6"/>
        <v>9.25</v>
      </c>
      <c r="Q123" s="7">
        <f t="shared" si="7"/>
        <v>-79.69</v>
      </c>
      <c r="R123" s="7" t="str">
        <f t="shared" si="8"/>
        <v>09º15′00″ N</v>
      </c>
      <c r="S123" s="5" t="str">
        <f t="shared" si="9"/>
        <v>079º41′24″ W</v>
      </c>
      <c r="T123" s="5" t="str">
        <f t="shared" si="10"/>
        <v>09º15.00′N</v>
      </c>
      <c r="U123" s="5" t="str">
        <f t="shared" si="11"/>
        <v>079º41.40′W</v>
      </c>
    </row>
    <row r="124" spans="1:21" x14ac:dyDescent="0.2">
      <c r="A124" s="5">
        <v>207</v>
      </c>
      <c r="B124" s="11" t="s">
        <v>836</v>
      </c>
      <c r="C124" s="9" t="s">
        <v>829</v>
      </c>
      <c r="D124" s="9" t="s">
        <v>829</v>
      </c>
      <c r="E124" s="9" t="s">
        <v>830</v>
      </c>
      <c r="F124" s="5">
        <v>9</v>
      </c>
      <c r="G124" s="5">
        <v>3</v>
      </c>
      <c r="H124" s="5">
        <v>58</v>
      </c>
      <c r="I124" s="5" t="s">
        <v>132</v>
      </c>
      <c r="J124" s="5">
        <v>79</v>
      </c>
      <c r="K124" s="5">
        <v>38</v>
      </c>
      <c r="L124" s="5">
        <v>44</v>
      </c>
      <c r="M124" s="5" t="s">
        <v>138</v>
      </c>
      <c r="N124" s="45" t="s">
        <v>163</v>
      </c>
      <c r="O124" t="s">
        <v>107</v>
      </c>
      <c r="P124" s="7">
        <f t="shared" si="6"/>
        <v>9.0661111111111126</v>
      </c>
      <c r="Q124" s="7">
        <f t="shared" si="7"/>
        <v>-79.645555555555561</v>
      </c>
      <c r="R124" s="7" t="str">
        <f t="shared" si="8"/>
        <v>09º03′58″ N</v>
      </c>
      <c r="S124" s="5" t="str">
        <f t="shared" si="9"/>
        <v>079º38′44″ W</v>
      </c>
      <c r="T124" s="5" t="str">
        <f t="shared" si="10"/>
        <v>09º03.97′N</v>
      </c>
      <c r="U124" s="5" t="str">
        <f t="shared" si="11"/>
        <v>079º38.73′W</v>
      </c>
    </row>
    <row r="125" spans="1:21" x14ac:dyDescent="0.2">
      <c r="A125" s="5">
        <v>245</v>
      </c>
      <c r="B125" s="11" t="s">
        <v>836</v>
      </c>
      <c r="C125" s="9" t="s">
        <v>303</v>
      </c>
      <c r="D125" s="9" t="s">
        <v>107</v>
      </c>
      <c r="E125" s="9" t="s">
        <v>107</v>
      </c>
      <c r="F125" s="5" t="s">
        <v>107</v>
      </c>
      <c r="G125" s="5" t="s">
        <v>107</v>
      </c>
      <c r="H125" s="5" t="s">
        <v>107</v>
      </c>
      <c r="I125" s="5" t="s">
        <v>107</v>
      </c>
      <c r="J125" s="5" t="s">
        <v>107</v>
      </c>
      <c r="K125" s="5" t="s">
        <v>107</v>
      </c>
      <c r="L125" s="5" t="s">
        <v>107</v>
      </c>
      <c r="M125" s="5" t="s">
        <v>107</v>
      </c>
      <c r="N125" s="43" t="s">
        <v>107</v>
      </c>
      <c r="O125" t="s">
        <v>107</v>
      </c>
      <c r="P125" s="7" t="str">
        <f t="shared" si="6"/>
        <v>-</v>
      </c>
      <c r="Q125" s="7" t="str">
        <f t="shared" si="7"/>
        <v>-</v>
      </c>
      <c r="R125" s="7" t="str">
        <f t="shared" si="8"/>
        <v>-</v>
      </c>
      <c r="S125" s="5" t="str">
        <f t="shared" si="9"/>
        <v>-</v>
      </c>
      <c r="T125" s="5" t="str">
        <f t="shared" si="10"/>
        <v>-</v>
      </c>
      <c r="U125" s="5" t="str">
        <f t="shared" si="11"/>
        <v>-</v>
      </c>
    </row>
    <row r="126" spans="1:21" x14ac:dyDescent="0.2">
      <c r="A126" s="5">
        <v>31</v>
      </c>
      <c r="B126" s="11" t="s">
        <v>836</v>
      </c>
      <c r="C126" s="9" t="s">
        <v>303</v>
      </c>
      <c r="D126" s="9" t="s">
        <v>304</v>
      </c>
      <c r="E126" s="9" t="s">
        <v>305</v>
      </c>
      <c r="F126" s="5">
        <v>6</v>
      </c>
      <c r="G126" s="5">
        <v>34</v>
      </c>
      <c r="H126" s="5">
        <v>58.4</v>
      </c>
      <c r="I126" s="5" t="s">
        <v>131</v>
      </c>
      <c r="J126" s="5">
        <v>77</v>
      </c>
      <c r="K126" s="5">
        <v>23</v>
      </c>
      <c r="L126" s="5">
        <v>25.3</v>
      </c>
      <c r="M126" s="5" t="s">
        <v>138</v>
      </c>
      <c r="N126" s="39" t="s">
        <v>1206</v>
      </c>
      <c r="O126" t="s">
        <v>107</v>
      </c>
      <c r="P126" s="7">
        <f t="shared" si="6"/>
        <v>-6.5828888888888883</v>
      </c>
      <c r="Q126" s="7">
        <f t="shared" si="7"/>
        <v>-77.390361111111119</v>
      </c>
      <c r="R126" s="7" t="str">
        <f t="shared" si="8"/>
        <v>06º34′58″ S</v>
      </c>
      <c r="S126" s="5" t="str">
        <f t="shared" si="9"/>
        <v>077º23′25″ W</v>
      </c>
      <c r="T126" s="5" t="str">
        <f t="shared" si="10"/>
        <v>06º34.97′S</v>
      </c>
      <c r="U126" s="5" t="str">
        <f t="shared" si="11"/>
        <v>077º23.42′W</v>
      </c>
    </row>
    <row r="127" spans="1:21" x14ac:dyDescent="0.2">
      <c r="A127" s="5">
        <v>32</v>
      </c>
      <c r="B127" s="11" t="s">
        <v>836</v>
      </c>
      <c r="C127" s="9" t="s">
        <v>303</v>
      </c>
      <c r="D127" s="9" t="s">
        <v>306</v>
      </c>
      <c r="E127" s="9" t="s">
        <v>307</v>
      </c>
      <c r="F127" s="5">
        <v>6</v>
      </c>
      <c r="G127" s="5">
        <v>13</v>
      </c>
      <c r="H127" s="5">
        <v>13</v>
      </c>
      <c r="I127" s="5" t="s">
        <v>131</v>
      </c>
      <c r="J127" s="5">
        <v>79</v>
      </c>
      <c r="K127" s="5">
        <v>17</v>
      </c>
      <c r="L127" s="5">
        <v>58</v>
      </c>
      <c r="M127" s="5" t="s">
        <v>138</v>
      </c>
      <c r="N127" s="39" t="s">
        <v>1206</v>
      </c>
      <c r="O127" t="s">
        <v>107</v>
      </c>
      <c r="P127" s="7">
        <f t="shared" si="6"/>
        <v>-6.2202777777777776</v>
      </c>
      <c r="Q127" s="7">
        <f t="shared" si="7"/>
        <v>-79.299444444444447</v>
      </c>
      <c r="R127" s="7" t="str">
        <f t="shared" si="8"/>
        <v>06º13′13″ S</v>
      </c>
      <c r="S127" s="5" t="str">
        <f t="shared" si="9"/>
        <v>079º17′58″ W</v>
      </c>
      <c r="T127" s="5" t="str">
        <f t="shared" si="10"/>
        <v>06º13.22′S</v>
      </c>
      <c r="U127" s="5" t="str">
        <f t="shared" si="11"/>
        <v>079º17.97′W</v>
      </c>
    </row>
    <row r="128" spans="1:21" x14ac:dyDescent="0.2">
      <c r="A128" s="5">
        <v>33</v>
      </c>
      <c r="B128" s="11" t="s">
        <v>836</v>
      </c>
      <c r="C128" s="9" t="s">
        <v>303</v>
      </c>
      <c r="D128" s="9" t="s">
        <v>308</v>
      </c>
      <c r="E128" s="9" t="s">
        <v>309</v>
      </c>
      <c r="F128" s="5">
        <v>11</v>
      </c>
      <c r="G128" s="5">
        <v>4</v>
      </c>
      <c r="H128" s="5">
        <v>40.091999999999999</v>
      </c>
      <c r="I128" s="5" t="s">
        <v>131</v>
      </c>
      <c r="J128" s="5">
        <v>77</v>
      </c>
      <c r="K128" s="5">
        <v>27</v>
      </c>
      <c r="L128" s="5">
        <v>33.768000000000001</v>
      </c>
      <c r="M128" s="5" t="s">
        <v>138</v>
      </c>
      <c r="N128" s="39" t="s">
        <v>1206</v>
      </c>
      <c r="O128" t="s">
        <v>107</v>
      </c>
      <c r="P128" s="7">
        <f t="shared" si="6"/>
        <v>-11.077803333333334</v>
      </c>
      <c r="Q128" s="7">
        <f t="shared" si="7"/>
        <v>-77.459379999999996</v>
      </c>
      <c r="R128" s="7" t="str">
        <f t="shared" si="8"/>
        <v>11º04′40″ S</v>
      </c>
      <c r="S128" s="5" t="str">
        <f t="shared" si="9"/>
        <v>077º27′34″ W</v>
      </c>
      <c r="T128" s="5" t="str">
        <f t="shared" si="10"/>
        <v>11º04.67′S</v>
      </c>
      <c r="U128" s="5" t="str">
        <f t="shared" si="11"/>
        <v>077º27.56′W</v>
      </c>
    </row>
    <row r="129" spans="1:21" x14ac:dyDescent="0.2">
      <c r="A129" s="5">
        <v>197</v>
      </c>
      <c r="B129" s="11" t="s">
        <v>836</v>
      </c>
      <c r="C129" s="9" t="s">
        <v>303</v>
      </c>
      <c r="D129" s="9" t="s">
        <v>308</v>
      </c>
      <c r="E129" s="9" t="s">
        <v>812</v>
      </c>
      <c r="F129" s="5">
        <v>12</v>
      </c>
      <c r="G129" s="5">
        <v>4</v>
      </c>
      <c r="H129" s="5">
        <v>39</v>
      </c>
      <c r="I129" s="5" t="s">
        <v>131</v>
      </c>
      <c r="J129" s="5">
        <v>77</v>
      </c>
      <c r="K129" s="5">
        <v>2</v>
      </c>
      <c r="L129" s="5">
        <v>14</v>
      </c>
      <c r="M129" s="5" t="s">
        <v>138</v>
      </c>
      <c r="N129" s="36" t="s">
        <v>1250</v>
      </c>
      <c r="O129" t="s">
        <v>107</v>
      </c>
      <c r="P129" s="7">
        <f t="shared" si="6"/>
        <v>-12.077500000000001</v>
      </c>
      <c r="Q129" s="7">
        <f t="shared" si="7"/>
        <v>-77.037222222222226</v>
      </c>
      <c r="R129" s="7" t="str">
        <f t="shared" si="8"/>
        <v>12º04′39″ S</v>
      </c>
      <c r="S129" s="5" t="str">
        <f t="shared" si="9"/>
        <v>077º02′14″ W</v>
      </c>
      <c r="T129" s="5" t="str">
        <f t="shared" si="10"/>
        <v>12º04.65′S</v>
      </c>
      <c r="U129" s="5" t="str">
        <f t="shared" si="11"/>
        <v>077º02.23′W</v>
      </c>
    </row>
    <row r="130" spans="1:21" x14ac:dyDescent="0.2">
      <c r="A130" s="5">
        <v>120</v>
      </c>
      <c r="B130" s="11" t="s">
        <v>836</v>
      </c>
      <c r="C130" s="9" t="s">
        <v>303</v>
      </c>
      <c r="D130" s="9" t="s">
        <v>599</v>
      </c>
      <c r="E130" s="9" t="s">
        <v>600</v>
      </c>
      <c r="F130" s="5">
        <v>3</v>
      </c>
      <c r="G130" s="5">
        <v>45</v>
      </c>
      <c r="H130" s="5">
        <v>47.573999999999998</v>
      </c>
      <c r="I130" s="5" t="s">
        <v>131</v>
      </c>
      <c r="J130" s="5">
        <v>73</v>
      </c>
      <c r="K130" s="5">
        <v>15</v>
      </c>
      <c r="L130" s="5">
        <v>14.654999999999999</v>
      </c>
      <c r="M130" s="5" t="s">
        <v>138</v>
      </c>
      <c r="N130" s="37" t="s">
        <v>1209</v>
      </c>
      <c r="O130" t="s">
        <v>107</v>
      </c>
      <c r="P130" s="7">
        <f t="shared" si="6"/>
        <v>-3.7632150000000002</v>
      </c>
      <c r="Q130" s="7">
        <f t="shared" si="7"/>
        <v>-73.25407083333333</v>
      </c>
      <c r="R130" s="7" t="str">
        <f t="shared" si="8"/>
        <v>03º45′48″ S</v>
      </c>
      <c r="S130" s="5" t="str">
        <f t="shared" si="9"/>
        <v>073º15′15″ W</v>
      </c>
      <c r="T130" s="5" t="str">
        <f t="shared" si="10"/>
        <v>03º45.79′S</v>
      </c>
      <c r="U130" s="5" t="str">
        <f t="shared" si="11"/>
        <v>073º15.24′W</v>
      </c>
    </row>
    <row r="131" spans="1:21" x14ac:dyDescent="0.2">
      <c r="A131" s="5">
        <v>149</v>
      </c>
      <c r="B131" s="11" t="s">
        <v>836</v>
      </c>
      <c r="C131" s="9" t="s">
        <v>303</v>
      </c>
      <c r="D131" s="9" t="s">
        <v>599</v>
      </c>
      <c r="E131" s="9" t="s">
        <v>656</v>
      </c>
      <c r="F131" s="12">
        <v>4</v>
      </c>
      <c r="G131" s="12">
        <v>55</v>
      </c>
      <c r="H131" s="12">
        <v>0</v>
      </c>
      <c r="I131" s="12" t="s">
        <v>131</v>
      </c>
      <c r="J131" s="12">
        <v>73</v>
      </c>
      <c r="K131" s="12">
        <v>45</v>
      </c>
      <c r="L131" s="12">
        <v>0</v>
      </c>
      <c r="M131" s="12" t="s">
        <v>138</v>
      </c>
      <c r="N131" s="39" t="s">
        <v>1206</v>
      </c>
      <c r="O131" t="s">
        <v>107</v>
      </c>
      <c r="P131" s="7">
        <f t="shared" ref="P131:P194" si="12">IF(F131="-","-",IF(I131="N",((F131)+(G131/60)+(H131/3600)),((F131)+(G131/60)+(H131/3600))*(-1)))</f>
        <v>-4.916666666666667</v>
      </c>
      <c r="Q131" s="7">
        <f t="shared" ref="Q131:Q194" si="13">IF(F131="-","-",IF(M131="E",((J131)+(K131/60)+(L131/3600)),((J131)+(K131/60)+(L131/3600))*(-1)))</f>
        <v>-73.75</v>
      </c>
      <c r="R131" s="7" t="str">
        <f t="shared" si="8"/>
        <v>04º55′00″ S</v>
      </c>
      <c r="S131" s="5" t="str">
        <f t="shared" si="9"/>
        <v>073º45′00″ W</v>
      </c>
      <c r="T131" s="5" t="str">
        <f t="shared" si="10"/>
        <v>04º55.00′S</v>
      </c>
      <c r="U131" s="5" t="str">
        <f t="shared" si="11"/>
        <v>073º45.00′W</v>
      </c>
    </row>
    <row r="132" spans="1:21" x14ac:dyDescent="0.2">
      <c r="A132" s="5">
        <v>146</v>
      </c>
      <c r="B132" s="11" t="s">
        <v>836</v>
      </c>
      <c r="C132" s="8" t="s">
        <v>303</v>
      </c>
      <c r="D132" s="8" t="s">
        <v>599</v>
      </c>
      <c r="E132" s="8" t="s">
        <v>651</v>
      </c>
      <c r="F132" s="5">
        <v>12</v>
      </c>
      <c r="G132" s="5">
        <v>35</v>
      </c>
      <c r="H132" s="5">
        <v>23.9</v>
      </c>
      <c r="I132" s="5" t="s">
        <v>131</v>
      </c>
      <c r="J132" s="5">
        <v>71</v>
      </c>
      <c r="K132" s="5">
        <v>27</v>
      </c>
      <c r="L132" s="5">
        <v>51.8</v>
      </c>
      <c r="M132" s="5" t="s">
        <v>138</v>
      </c>
      <c r="N132" s="39" t="s">
        <v>1206</v>
      </c>
      <c r="O132" t="s">
        <v>107</v>
      </c>
      <c r="P132" s="7">
        <f t="shared" si="12"/>
        <v>-12.589972222222222</v>
      </c>
      <c r="Q132" s="7">
        <f t="shared" si="13"/>
        <v>-71.464388888888891</v>
      </c>
      <c r="R132" s="7" t="str">
        <f t="shared" ref="R132:R195" si="14">IF(P132="-","-",TEXT(F132,"00")&amp;"º"&amp;TEXT(G132,"00")&amp;"′"&amp;TEXT(H132,"00")&amp;"″ "&amp;I132)</f>
        <v>12º35′24″ S</v>
      </c>
      <c r="S132" s="5" t="str">
        <f t="shared" ref="S132:S195" si="15">IF(P132="-","-",TEXT(J132,"000")&amp;"º"&amp;TEXT(K132,"00")&amp;"′"&amp;TEXT(L132,"00")&amp;"″ "&amp;M132)</f>
        <v>071º27′52″ W</v>
      </c>
      <c r="T132" s="5" t="str">
        <f t="shared" ref="T132:T195" si="16">IF(P132="-","-",TEXT(F132,"00")&amp;"º"&amp;TEXT(G132,"00")&amp;"."&amp;TEXT(H132*100/60,"00")&amp;"′"&amp;I132)</f>
        <v>12º35.40′S</v>
      </c>
      <c r="U132" s="5" t="str">
        <f t="shared" ref="U132:U195" si="17">IF(P132="-","-",TEXT(J132,"000")&amp;"º"&amp;TEXT(K132,"00")&amp;"."&amp;TEXT(L132*100/60,"00")&amp;"′"&amp;M132)</f>
        <v>071º27.86′W</v>
      </c>
    </row>
    <row r="133" spans="1:21" x14ac:dyDescent="0.2">
      <c r="A133" s="5">
        <v>107</v>
      </c>
      <c r="B133" s="11" t="s">
        <v>836</v>
      </c>
      <c r="C133" s="9" t="s">
        <v>303</v>
      </c>
      <c r="D133" s="9" t="s">
        <v>551</v>
      </c>
      <c r="E133" s="9" t="s">
        <v>552</v>
      </c>
      <c r="F133" s="5">
        <v>12</v>
      </c>
      <c r="G133" s="5">
        <v>27</v>
      </c>
      <c r="H133" s="5">
        <v>14.1</v>
      </c>
      <c r="I133" s="5" t="s">
        <v>131</v>
      </c>
      <c r="J133" s="5">
        <v>69</v>
      </c>
      <c r="K133" s="5">
        <v>7</v>
      </c>
      <c r="L133" s="5">
        <v>35.1</v>
      </c>
      <c r="M133" s="5" t="s">
        <v>138</v>
      </c>
      <c r="N133" s="37" t="s">
        <v>1251</v>
      </c>
      <c r="O133" t="s">
        <v>107</v>
      </c>
      <c r="P133" s="7">
        <f t="shared" si="12"/>
        <v>-12.453916666666666</v>
      </c>
      <c r="Q133" s="7">
        <f t="shared" si="13"/>
        <v>-69.126416666666657</v>
      </c>
      <c r="R133" s="7" t="str">
        <f t="shared" si="14"/>
        <v>12º27′14″ S</v>
      </c>
      <c r="S133" s="5" t="str">
        <f t="shared" si="15"/>
        <v>069º07′35″ W</v>
      </c>
      <c r="T133" s="5" t="str">
        <f t="shared" si="16"/>
        <v>12º27.24′S</v>
      </c>
      <c r="U133" s="5" t="str">
        <f t="shared" si="17"/>
        <v>069º07.59′W</v>
      </c>
    </row>
    <row r="134" spans="1:21" x14ac:dyDescent="0.2">
      <c r="A134" s="5">
        <v>148</v>
      </c>
      <c r="B134" s="11" t="s">
        <v>836</v>
      </c>
      <c r="C134" s="9" t="s">
        <v>303</v>
      </c>
      <c r="D134" s="9" t="s">
        <v>654</v>
      </c>
      <c r="E134" s="9" t="s">
        <v>655</v>
      </c>
      <c r="F134" s="12">
        <v>11</v>
      </c>
      <c r="G134" s="12">
        <v>56</v>
      </c>
      <c r="H134" s="12">
        <v>47</v>
      </c>
      <c r="I134" s="12" t="s">
        <v>131</v>
      </c>
      <c r="J134" s="12">
        <v>71</v>
      </c>
      <c r="K134" s="12">
        <v>16</v>
      </c>
      <c r="L134" s="12">
        <v>59.9</v>
      </c>
      <c r="M134" s="12" t="s">
        <v>138</v>
      </c>
      <c r="N134" s="39" t="s">
        <v>1206</v>
      </c>
      <c r="O134" t="s">
        <v>107</v>
      </c>
      <c r="P134" s="7">
        <f t="shared" si="12"/>
        <v>-11.946388888888889</v>
      </c>
      <c r="Q134" s="7">
        <f t="shared" si="13"/>
        <v>-71.283305555555557</v>
      </c>
      <c r="R134" s="7" t="str">
        <f t="shared" si="14"/>
        <v>11º56′47″ S</v>
      </c>
      <c r="S134" s="5" t="str">
        <f t="shared" si="15"/>
        <v>071º16′60″ W</v>
      </c>
      <c r="T134" s="5" t="str">
        <f t="shared" si="16"/>
        <v>11º56.78′S</v>
      </c>
      <c r="U134" s="5" t="str">
        <f t="shared" si="17"/>
        <v>071º16.100′W</v>
      </c>
    </row>
    <row r="135" spans="1:21" x14ac:dyDescent="0.2">
      <c r="A135" s="5">
        <v>147</v>
      </c>
      <c r="B135" s="11" t="s">
        <v>836</v>
      </c>
      <c r="C135" s="9" t="s">
        <v>303</v>
      </c>
      <c r="D135" s="9" t="s">
        <v>652</v>
      </c>
      <c r="E135" s="9" t="s">
        <v>653</v>
      </c>
      <c r="F135" s="12">
        <v>10</v>
      </c>
      <c r="G135" s="12">
        <v>4</v>
      </c>
      <c r="H135" s="12">
        <v>13.7</v>
      </c>
      <c r="I135" s="12" t="s">
        <v>131</v>
      </c>
      <c r="J135" s="12">
        <v>75</v>
      </c>
      <c r="K135" s="12">
        <v>33</v>
      </c>
      <c r="L135" s="12">
        <v>47.5</v>
      </c>
      <c r="M135" s="12" t="s">
        <v>138</v>
      </c>
      <c r="N135" s="39" t="s">
        <v>1206</v>
      </c>
      <c r="O135" t="s">
        <v>107</v>
      </c>
      <c r="P135" s="7">
        <f t="shared" si="12"/>
        <v>-10.070472222222222</v>
      </c>
      <c r="Q135" s="7">
        <f t="shared" si="13"/>
        <v>-75.563194444444449</v>
      </c>
      <c r="R135" s="7" t="str">
        <f t="shared" si="14"/>
        <v>10º04′14″ S</v>
      </c>
      <c r="S135" s="5" t="str">
        <f t="shared" si="15"/>
        <v>075º33′48″ W</v>
      </c>
      <c r="T135" s="5" t="str">
        <f t="shared" si="16"/>
        <v>10º04.23′S</v>
      </c>
      <c r="U135" s="5" t="str">
        <f t="shared" si="17"/>
        <v>075º33.79′W</v>
      </c>
    </row>
    <row r="136" spans="1:21" x14ac:dyDescent="0.2">
      <c r="A136" s="5">
        <v>121</v>
      </c>
      <c r="B136" s="11" t="s">
        <v>836</v>
      </c>
      <c r="C136" s="9" t="s">
        <v>500</v>
      </c>
      <c r="D136" s="9" t="s">
        <v>107</v>
      </c>
      <c r="E136" s="9" t="s">
        <v>107</v>
      </c>
      <c r="F136" s="5" t="s">
        <v>107</v>
      </c>
      <c r="G136" s="5" t="s">
        <v>107</v>
      </c>
      <c r="H136" s="5" t="s">
        <v>107</v>
      </c>
      <c r="I136" s="5" t="s">
        <v>107</v>
      </c>
      <c r="J136" s="5" t="s">
        <v>107</v>
      </c>
      <c r="K136" s="5" t="s">
        <v>107</v>
      </c>
      <c r="L136" s="5" t="s">
        <v>107</v>
      </c>
      <c r="M136" s="5" t="s">
        <v>107</v>
      </c>
      <c r="N136" s="45" t="s">
        <v>107</v>
      </c>
      <c r="O136" t="s">
        <v>107</v>
      </c>
      <c r="P136" s="7" t="str">
        <f t="shared" si="12"/>
        <v>-</v>
      </c>
      <c r="Q136" s="7" t="str">
        <f t="shared" si="13"/>
        <v>-</v>
      </c>
      <c r="R136" s="7" t="str">
        <f t="shared" si="14"/>
        <v>-</v>
      </c>
      <c r="S136" s="5" t="str">
        <f t="shared" si="15"/>
        <v>-</v>
      </c>
      <c r="T136" s="5" t="str">
        <f t="shared" si="16"/>
        <v>-</v>
      </c>
      <c r="U136" s="5" t="str">
        <f t="shared" si="17"/>
        <v>-</v>
      </c>
    </row>
    <row r="137" spans="1:21" x14ac:dyDescent="0.2">
      <c r="A137" s="5">
        <v>88</v>
      </c>
      <c r="B137" s="11" t="s">
        <v>836</v>
      </c>
      <c r="C137" s="9" t="s">
        <v>500</v>
      </c>
      <c r="D137" s="9" t="s">
        <v>501</v>
      </c>
      <c r="E137" s="9" t="s">
        <v>502</v>
      </c>
      <c r="F137" s="5">
        <v>18</v>
      </c>
      <c r="G137" s="5">
        <v>24</v>
      </c>
      <c r="H137" s="5">
        <v>7</v>
      </c>
      <c r="I137" s="5" t="s">
        <v>132</v>
      </c>
      <c r="J137" s="5">
        <v>65</v>
      </c>
      <c r="K137" s="5">
        <v>51</v>
      </c>
      <c r="L137" s="5">
        <v>53</v>
      </c>
      <c r="M137" s="5" t="s">
        <v>138</v>
      </c>
      <c r="N137" s="45" t="s">
        <v>163</v>
      </c>
      <c r="O137" t="s">
        <v>107</v>
      </c>
      <c r="P137" s="7">
        <f t="shared" si="12"/>
        <v>18.401944444444442</v>
      </c>
      <c r="Q137" s="7">
        <f t="shared" si="13"/>
        <v>-65.864722222222213</v>
      </c>
      <c r="R137" s="7" t="str">
        <f t="shared" si="14"/>
        <v>18º24′07″ N</v>
      </c>
      <c r="S137" s="5" t="str">
        <f t="shared" si="15"/>
        <v>065º51′53″ W</v>
      </c>
      <c r="T137" s="5" t="str">
        <f t="shared" si="16"/>
        <v>18º24.12′N</v>
      </c>
      <c r="U137" s="5" t="str">
        <f t="shared" si="17"/>
        <v>065º51.88′W</v>
      </c>
    </row>
    <row r="138" spans="1:21" x14ac:dyDescent="0.2">
      <c r="A138" s="5">
        <v>89</v>
      </c>
      <c r="B138" s="11" t="s">
        <v>836</v>
      </c>
      <c r="C138" s="9" t="s">
        <v>500</v>
      </c>
      <c r="D138" s="9" t="s">
        <v>503</v>
      </c>
      <c r="E138" s="9" t="s">
        <v>503</v>
      </c>
      <c r="F138" s="5">
        <v>18</v>
      </c>
      <c r="G138" s="5">
        <v>15</v>
      </c>
      <c r="H138" s="5">
        <v>55</v>
      </c>
      <c r="I138" s="5" t="s">
        <v>132</v>
      </c>
      <c r="J138" s="5">
        <v>66</v>
      </c>
      <c r="K138" s="5">
        <v>42</v>
      </c>
      <c r="L138" s="5">
        <v>1</v>
      </c>
      <c r="M138" s="5" t="s">
        <v>138</v>
      </c>
      <c r="N138" s="45" t="s">
        <v>163</v>
      </c>
      <c r="O138" t="s">
        <v>107</v>
      </c>
      <c r="P138" s="7">
        <f t="shared" si="12"/>
        <v>18.265277777777779</v>
      </c>
      <c r="Q138" s="7">
        <f t="shared" si="13"/>
        <v>-66.700277777777785</v>
      </c>
      <c r="R138" s="7" t="str">
        <f t="shared" si="14"/>
        <v>18º15′55″ N</v>
      </c>
      <c r="S138" s="5" t="str">
        <f t="shared" si="15"/>
        <v>066º42′01″ W</v>
      </c>
      <c r="T138" s="5" t="str">
        <f t="shared" si="16"/>
        <v>18º15.92′N</v>
      </c>
      <c r="U138" s="5" t="str">
        <f t="shared" si="17"/>
        <v>066º42.02′W</v>
      </c>
    </row>
    <row r="139" spans="1:21" x14ac:dyDescent="0.2">
      <c r="A139" s="5">
        <v>253</v>
      </c>
      <c r="B139" s="11" t="s">
        <v>836</v>
      </c>
      <c r="C139" s="9" t="s">
        <v>279</v>
      </c>
      <c r="D139" s="9" t="s">
        <v>107</v>
      </c>
      <c r="E139" s="9" t="s">
        <v>107</v>
      </c>
      <c r="F139" s="5" t="s">
        <v>107</v>
      </c>
      <c r="G139" s="5" t="s">
        <v>107</v>
      </c>
      <c r="H139" s="5" t="s">
        <v>107</v>
      </c>
      <c r="I139" s="5" t="s">
        <v>107</v>
      </c>
      <c r="J139" s="5" t="s">
        <v>107</v>
      </c>
      <c r="K139" s="5" t="s">
        <v>107</v>
      </c>
      <c r="L139" s="5" t="s">
        <v>107</v>
      </c>
      <c r="M139" s="5" t="s">
        <v>107</v>
      </c>
      <c r="N139" s="43" t="s">
        <v>107</v>
      </c>
      <c r="O139" t="s">
        <v>107</v>
      </c>
      <c r="P139" s="7" t="str">
        <f t="shared" si="12"/>
        <v>-</v>
      </c>
      <c r="Q139" s="7" t="str">
        <f t="shared" si="13"/>
        <v>-</v>
      </c>
      <c r="R139" s="7" t="str">
        <f t="shared" si="14"/>
        <v>-</v>
      </c>
      <c r="S139" s="5" t="str">
        <f t="shared" si="15"/>
        <v>-</v>
      </c>
      <c r="T139" s="5" t="str">
        <f t="shared" si="16"/>
        <v>-</v>
      </c>
      <c r="U139" s="5" t="str">
        <f t="shared" si="17"/>
        <v>-</v>
      </c>
    </row>
    <row r="140" spans="1:21" x14ac:dyDescent="0.2">
      <c r="A140" s="5">
        <v>36</v>
      </c>
      <c r="B140" s="11" t="s">
        <v>836</v>
      </c>
      <c r="C140" s="9" t="s">
        <v>279</v>
      </c>
      <c r="D140" s="9" t="s">
        <v>107</v>
      </c>
      <c r="E140" s="9" t="s">
        <v>319</v>
      </c>
      <c r="F140" s="5" t="s">
        <v>107</v>
      </c>
      <c r="G140" s="5" t="s">
        <v>107</v>
      </c>
      <c r="H140" s="5" t="s">
        <v>107</v>
      </c>
      <c r="I140" s="5" t="s">
        <v>107</v>
      </c>
      <c r="J140" s="5" t="s">
        <v>107</v>
      </c>
      <c r="K140" s="5" t="s">
        <v>107</v>
      </c>
      <c r="L140" s="5" t="s">
        <v>107</v>
      </c>
      <c r="M140" s="5" t="s">
        <v>107</v>
      </c>
      <c r="N140" s="45" t="s">
        <v>107</v>
      </c>
      <c r="O140" t="s">
        <v>107</v>
      </c>
      <c r="P140" s="7" t="str">
        <f t="shared" si="12"/>
        <v>-</v>
      </c>
      <c r="Q140" s="7" t="str">
        <f t="shared" si="13"/>
        <v>-</v>
      </c>
      <c r="R140" s="7" t="str">
        <f t="shared" si="14"/>
        <v>-</v>
      </c>
      <c r="S140" s="5" t="str">
        <f t="shared" si="15"/>
        <v>-</v>
      </c>
      <c r="T140" s="5" t="str">
        <f t="shared" si="16"/>
        <v>-</v>
      </c>
      <c r="U140" s="5" t="str">
        <f t="shared" si="17"/>
        <v>-</v>
      </c>
    </row>
    <row r="141" spans="1:21" x14ac:dyDescent="0.2">
      <c r="A141" s="5">
        <v>25</v>
      </c>
      <c r="B141" s="11" t="s">
        <v>836</v>
      </c>
      <c r="C141" s="9" t="s">
        <v>279</v>
      </c>
      <c r="D141" s="9" t="s">
        <v>280</v>
      </c>
      <c r="E141" s="9" t="s">
        <v>280</v>
      </c>
      <c r="F141" s="5">
        <v>10</v>
      </c>
      <c r="G141" s="5">
        <v>40</v>
      </c>
      <c r="H141" s="5">
        <v>0</v>
      </c>
      <c r="I141" s="5" t="s">
        <v>132</v>
      </c>
      <c r="J141" s="5">
        <v>61</v>
      </c>
      <c r="K141" s="5">
        <v>31</v>
      </c>
      <c r="L141" s="5">
        <v>0</v>
      </c>
      <c r="M141" s="5" t="s">
        <v>138</v>
      </c>
      <c r="N141" s="45" t="s">
        <v>163</v>
      </c>
      <c r="O141" t="s">
        <v>107</v>
      </c>
      <c r="P141" s="7">
        <f t="shared" si="12"/>
        <v>10.666666666666666</v>
      </c>
      <c r="Q141" s="7">
        <f t="shared" si="13"/>
        <v>-61.516666666666666</v>
      </c>
      <c r="R141" s="7" t="str">
        <f t="shared" si="14"/>
        <v>10º40′00″ N</v>
      </c>
      <c r="S141" s="5" t="str">
        <f t="shared" si="15"/>
        <v>061º31′00″ W</v>
      </c>
      <c r="T141" s="5" t="str">
        <f t="shared" si="16"/>
        <v>10º40.00′N</v>
      </c>
      <c r="U141" s="5" t="str">
        <f t="shared" si="17"/>
        <v>061º31.00′W</v>
      </c>
    </row>
    <row r="142" spans="1:21" x14ac:dyDescent="0.2">
      <c r="A142" s="5">
        <v>46</v>
      </c>
      <c r="B142" s="11" t="s">
        <v>836</v>
      </c>
      <c r="C142" s="9" t="s">
        <v>279</v>
      </c>
      <c r="D142" s="9" t="s">
        <v>360</v>
      </c>
      <c r="E142" s="9" t="s">
        <v>361</v>
      </c>
      <c r="F142" s="5">
        <v>10</v>
      </c>
      <c r="G142" s="5">
        <v>21</v>
      </c>
      <c r="H142" s="5">
        <v>0</v>
      </c>
      <c r="I142" s="5" t="s">
        <v>132</v>
      </c>
      <c r="J142" s="5">
        <v>61</v>
      </c>
      <c r="K142" s="5">
        <v>11</v>
      </c>
      <c r="L142" s="5">
        <v>0</v>
      </c>
      <c r="M142" s="5" t="s">
        <v>138</v>
      </c>
      <c r="N142" s="45" t="s">
        <v>163</v>
      </c>
      <c r="O142" t="s">
        <v>107</v>
      </c>
      <c r="P142" s="7">
        <f t="shared" si="12"/>
        <v>10.35</v>
      </c>
      <c r="Q142" s="7">
        <f t="shared" si="13"/>
        <v>-61.18333333333333</v>
      </c>
      <c r="R142" s="7" t="str">
        <f t="shared" si="14"/>
        <v>10º21′00″ N</v>
      </c>
      <c r="S142" s="5" t="str">
        <f t="shared" si="15"/>
        <v>061º11′00″ W</v>
      </c>
      <c r="T142" s="5" t="str">
        <f t="shared" si="16"/>
        <v>10º21.00′N</v>
      </c>
      <c r="U142" s="5" t="str">
        <f t="shared" si="17"/>
        <v>061º11.00′W</v>
      </c>
    </row>
    <row r="143" spans="1:21" x14ac:dyDescent="0.2">
      <c r="A143" s="5">
        <v>53</v>
      </c>
      <c r="B143" s="11" t="s">
        <v>836</v>
      </c>
      <c r="C143" s="9" t="s">
        <v>279</v>
      </c>
      <c r="D143" s="9" t="s">
        <v>377</v>
      </c>
      <c r="E143" s="9" t="s">
        <v>378</v>
      </c>
      <c r="F143" s="5">
        <v>10</v>
      </c>
      <c r="G143" s="5">
        <v>42</v>
      </c>
      <c r="H143" s="5">
        <v>0</v>
      </c>
      <c r="I143" s="5" t="s">
        <v>132</v>
      </c>
      <c r="J143" s="5">
        <v>61</v>
      </c>
      <c r="K143" s="5">
        <v>16</v>
      </c>
      <c r="L143" s="5">
        <v>0</v>
      </c>
      <c r="M143" s="5" t="s">
        <v>138</v>
      </c>
      <c r="N143" s="45" t="s">
        <v>163</v>
      </c>
      <c r="O143" t="s">
        <v>107</v>
      </c>
      <c r="P143" s="7">
        <f t="shared" si="12"/>
        <v>10.7</v>
      </c>
      <c r="Q143" s="7">
        <f t="shared" si="13"/>
        <v>-61.266666666666666</v>
      </c>
      <c r="R143" s="7" t="str">
        <f t="shared" si="14"/>
        <v>10º42′00″ N</v>
      </c>
      <c r="S143" s="5" t="str">
        <f t="shared" si="15"/>
        <v>061º16′00″ W</v>
      </c>
      <c r="T143" s="5" t="str">
        <f t="shared" si="16"/>
        <v>10º42.00′N</v>
      </c>
      <c r="U143" s="5" t="str">
        <f t="shared" si="17"/>
        <v>061º16.00′W</v>
      </c>
    </row>
    <row r="144" spans="1:21" x14ac:dyDescent="0.2">
      <c r="A144" s="5">
        <v>256</v>
      </c>
      <c r="B144" s="11" t="s">
        <v>836</v>
      </c>
      <c r="C144" s="9" t="s">
        <v>311</v>
      </c>
      <c r="D144" s="9" t="s">
        <v>107</v>
      </c>
      <c r="E144" s="9" t="s">
        <v>107</v>
      </c>
      <c r="F144" s="5" t="s">
        <v>107</v>
      </c>
      <c r="G144" s="5" t="s">
        <v>107</v>
      </c>
      <c r="H144" s="5" t="s">
        <v>107</v>
      </c>
      <c r="I144" s="5" t="s">
        <v>107</v>
      </c>
      <c r="J144" s="5" t="s">
        <v>107</v>
      </c>
      <c r="K144" s="5" t="s">
        <v>107</v>
      </c>
      <c r="L144" s="5" t="s">
        <v>107</v>
      </c>
      <c r="M144" s="5" t="s">
        <v>107</v>
      </c>
      <c r="N144" s="43" t="s">
        <v>107</v>
      </c>
      <c r="O144" t="s">
        <v>107</v>
      </c>
      <c r="P144" s="7" t="str">
        <f t="shared" si="12"/>
        <v>-</v>
      </c>
      <c r="Q144" s="7" t="str">
        <f t="shared" si="13"/>
        <v>-</v>
      </c>
      <c r="R144" s="7" t="str">
        <f t="shared" si="14"/>
        <v>-</v>
      </c>
      <c r="S144" s="5" t="str">
        <f t="shared" si="15"/>
        <v>-</v>
      </c>
      <c r="T144" s="5" t="str">
        <f t="shared" si="16"/>
        <v>-</v>
      </c>
      <c r="U144" s="5" t="str">
        <f t="shared" si="17"/>
        <v>-</v>
      </c>
    </row>
    <row r="145" spans="1:21" x14ac:dyDescent="0.2">
      <c r="A145" s="5">
        <v>45</v>
      </c>
      <c r="B145" s="11" t="s">
        <v>836</v>
      </c>
      <c r="C145" s="9" t="s">
        <v>311</v>
      </c>
      <c r="D145" s="9" t="s">
        <v>353</v>
      </c>
      <c r="E145" s="9" t="s">
        <v>354</v>
      </c>
      <c r="F145" s="5">
        <v>9</v>
      </c>
      <c r="G145" s="5">
        <v>17</v>
      </c>
      <c r="H145" s="5">
        <v>52</v>
      </c>
      <c r="I145" s="5" t="s">
        <v>132</v>
      </c>
      <c r="J145" s="5">
        <v>64</v>
      </c>
      <c r="K145" s="5">
        <v>20</v>
      </c>
      <c r="L145" s="5">
        <v>56</v>
      </c>
      <c r="M145" s="5" t="s">
        <v>138</v>
      </c>
      <c r="N145" s="45" t="s">
        <v>163</v>
      </c>
      <c r="O145" t="s">
        <v>107</v>
      </c>
      <c r="P145" s="7">
        <f t="shared" si="12"/>
        <v>9.2977777777777781</v>
      </c>
      <c r="Q145" s="7">
        <f t="shared" si="13"/>
        <v>-64.348888888888879</v>
      </c>
      <c r="R145" s="7" t="str">
        <f t="shared" si="14"/>
        <v>09º17′52″ N</v>
      </c>
      <c r="S145" s="5" t="str">
        <f t="shared" si="15"/>
        <v>064º20′56″ W</v>
      </c>
      <c r="T145" s="5" t="str">
        <f t="shared" si="16"/>
        <v>09º17.87′N</v>
      </c>
      <c r="U145" s="5" t="str">
        <f t="shared" si="17"/>
        <v>064º20.93′W</v>
      </c>
    </row>
    <row r="146" spans="1:21" x14ac:dyDescent="0.2">
      <c r="A146" s="5">
        <v>142</v>
      </c>
      <c r="B146" s="11" t="s">
        <v>836</v>
      </c>
      <c r="C146" s="9" t="s">
        <v>311</v>
      </c>
      <c r="D146" s="9" t="s">
        <v>644</v>
      </c>
      <c r="E146" s="9" t="s">
        <v>644</v>
      </c>
      <c r="F146" s="5">
        <v>3</v>
      </c>
      <c r="G146" s="5">
        <v>38</v>
      </c>
      <c r="H146" s="5">
        <v>0</v>
      </c>
      <c r="I146" s="5" t="s">
        <v>132</v>
      </c>
      <c r="J146" s="5">
        <v>70</v>
      </c>
      <c r="K146" s="5">
        <v>12</v>
      </c>
      <c r="L146" s="5">
        <v>0</v>
      </c>
      <c r="M146" s="5" t="s">
        <v>138</v>
      </c>
      <c r="N146" s="45" t="s">
        <v>163</v>
      </c>
      <c r="O146" t="s">
        <v>107</v>
      </c>
      <c r="P146" s="7">
        <f t="shared" si="12"/>
        <v>3.6333333333333333</v>
      </c>
      <c r="Q146" s="7">
        <f t="shared" si="13"/>
        <v>-70.2</v>
      </c>
      <c r="R146" s="7" t="str">
        <f t="shared" si="14"/>
        <v>03º38′00″ N</v>
      </c>
      <c r="S146" s="5" t="str">
        <f t="shared" si="15"/>
        <v>070º12′00″ W</v>
      </c>
      <c r="T146" s="5" t="str">
        <f t="shared" si="16"/>
        <v>03º38.00′N</v>
      </c>
      <c r="U146" s="5" t="str">
        <f t="shared" si="17"/>
        <v>070º12.00′W</v>
      </c>
    </row>
    <row r="147" spans="1:21" x14ac:dyDescent="0.2">
      <c r="A147" s="5">
        <v>34</v>
      </c>
      <c r="B147" s="11" t="s">
        <v>836</v>
      </c>
      <c r="C147" s="9" t="s">
        <v>311</v>
      </c>
      <c r="D147" s="9" t="s">
        <v>312</v>
      </c>
      <c r="E147" s="9" t="s">
        <v>313</v>
      </c>
      <c r="F147" s="5">
        <v>6</v>
      </c>
      <c r="G147" s="5">
        <v>9</v>
      </c>
      <c r="H147" s="5">
        <v>0</v>
      </c>
      <c r="I147" s="5" t="s">
        <v>132</v>
      </c>
      <c r="J147" s="5">
        <v>67</v>
      </c>
      <c r="K147" s="5">
        <v>13</v>
      </c>
      <c r="L147" s="5">
        <v>0</v>
      </c>
      <c r="M147" s="5" t="s">
        <v>138</v>
      </c>
      <c r="N147" s="37" t="s">
        <v>1252</v>
      </c>
      <c r="O147" t="s">
        <v>107</v>
      </c>
      <c r="P147" s="7">
        <f t="shared" si="12"/>
        <v>6.15</v>
      </c>
      <c r="Q147" s="7">
        <f t="shared" si="13"/>
        <v>-67.216666666666669</v>
      </c>
      <c r="R147" s="7" t="str">
        <f t="shared" si="14"/>
        <v>06º09′00″ N</v>
      </c>
      <c r="S147" s="5" t="str">
        <f t="shared" si="15"/>
        <v>067º13′00″ W</v>
      </c>
      <c r="T147" s="5" t="str">
        <f t="shared" si="16"/>
        <v>06º09.00′N</v>
      </c>
      <c r="U147" s="5" t="str">
        <f t="shared" si="17"/>
        <v>067º13.00′W</v>
      </c>
    </row>
    <row r="148" spans="1:21" x14ac:dyDescent="0.2">
      <c r="A148" s="5">
        <v>111</v>
      </c>
      <c r="B148" s="11" t="s">
        <v>836</v>
      </c>
      <c r="C148" s="9" t="s">
        <v>311</v>
      </c>
      <c r="D148" s="9" t="s">
        <v>561</v>
      </c>
      <c r="E148" s="9" t="s">
        <v>562</v>
      </c>
      <c r="F148" s="5">
        <v>8</v>
      </c>
      <c r="G148" s="5">
        <v>0</v>
      </c>
      <c r="H148" s="5">
        <v>18.8</v>
      </c>
      <c r="I148" s="5" t="s">
        <v>132</v>
      </c>
      <c r="J148" s="5">
        <v>71</v>
      </c>
      <c r="K148" s="5">
        <v>43</v>
      </c>
      <c r="L148" s="5">
        <v>41.8</v>
      </c>
      <c r="M148" s="5" t="s">
        <v>138</v>
      </c>
      <c r="N148" s="37" t="s">
        <v>1253</v>
      </c>
      <c r="O148" t="s">
        <v>107</v>
      </c>
      <c r="P148" s="7">
        <f t="shared" si="12"/>
        <v>8.0052222222222227</v>
      </c>
      <c r="Q148" s="7">
        <f t="shared" si="13"/>
        <v>-71.728277777777777</v>
      </c>
      <c r="R148" s="7" t="str">
        <f t="shared" si="14"/>
        <v>08º00′19″ N</v>
      </c>
      <c r="S148" s="5" t="str">
        <f t="shared" si="15"/>
        <v>071º43′42″ W</v>
      </c>
      <c r="T148" s="5" t="str">
        <f t="shared" si="16"/>
        <v>08º00.31′N</v>
      </c>
      <c r="U148" s="5" t="str">
        <f t="shared" si="17"/>
        <v>071º43.70′W</v>
      </c>
    </row>
    <row r="149" spans="1:21" x14ac:dyDescent="0.2">
      <c r="A149" s="5">
        <v>49</v>
      </c>
      <c r="B149" s="11" t="s">
        <v>836</v>
      </c>
      <c r="C149" s="9" t="s">
        <v>311</v>
      </c>
      <c r="D149" s="9" t="s">
        <v>370</v>
      </c>
      <c r="E149" s="9" t="s">
        <v>371</v>
      </c>
      <c r="F149" s="5">
        <v>9</v>
      </c>
      <c r="G149" s="5">
        <v>11</v>
      </c>
      <c r="H149" s="5">
        <v>4</v>
      </c>
      <c r="I149" s="5" t="s">
        <v>132</v>
      </c>
      <c r="J149" s="5">
        <v>70</v>
      </c>
      <c r="K149" s="5">
        <v>8</v>
      </c>
      <c r="L149" s="5">
        <v>54</v>
      </c>
      <c r="M149" s="5" t="s">
        <v>138</v>
      </c>
      <c r="N149" s="45" t="s">
        <v>163</v>
      </c>
      <c r="O149" t="s">
        <v>107</v>
      </c>
      <c r="P149" s="7">
        <f t="shared" si="12"/>
        <v>9.1844444444444449</v>
      </c>
      <c r="Q149" s="7">
        <f t="shared" si="13"/>
        <v>-70.148333333333341</v>
      </c>
      <c r="R149" s="7" t="str">
        <f t="shared" si="14"/>
        <v>09º11′04″ N</v>
      </c>
      <c r="S149" s="5" t="str">
        <f t="shared" si="15"/>
        <v>070º08′54″ W</v>
      </c>
      <c r="T149" s="5" t="str">
        <f t="shared" si="16"/>
        <v>09º11.07′N</v>
      </c>
      <c r="U149" s="5" t="str">
        <f t="shared" si="17"/>
        <v>070º08.90′W</v>
      </c>
    </row>
    <row r="150" spans="1:21" x14ac:dyDescent="0.2">
      <c r="A150" s="5">
        <v>43</v>
      </c>
      <c r="B150" s="11" t="s">
        <v>836</v>
      </c>
      <c r="C150" s="9" t="s">
        <v>311</v>
      </c>
      <c r="D150" s="9" t="s">
        <v>345</v>
      </c>
      <c r="E150" s="9" t="s">
        <v>346</v>
      </c>
      <c r="F150" s="5">
        <v>10</v>
      </c>
      <c r="G150" s="5">
        <v>25</v>
      </c>
      <c r="H150" s="5">
        <v>52</v>
      </c>
      <c r="I150" s="5" t="s">
        <v>132</v>
      </c>
      <c r="J150" s="5">
        <v>68</v>
      </c>
      <c r="K150" s="5">
        <v>53</v>
      </c>
      <c r="L150" s="5">
        <v>34</v>
      </c>
      <c r="M150" s="5" t="s">
        <v>138</v>
      </c>
      <c r="N150" s="45" t="s">
        <v>163</v>
      </c>
      <c r="O150" t="s">
        <v>107</v>
      </c>
      <c r="P150" s="7">
        <f t="shared" si="12"/>
        <v>10.431111111111111</v>
      </c>
      <c r="Q150" s="7">
        <f t="shared" si="13"/>
        <v>-68.892777777777781</v>
      </c>
      <c r="R150" s="7" t="str">
        <f t="shared" si="14"/>
        <v>10º25′52″ N</v>
      </c>
      <c r="S150" s="5" t="str">
        <f t="shared" si="15"/>
        <v>068º53′34″ W</v>
      </c>
      <c r="T150" s="5" t="str">
        <f t="shared" si="16"/>
        <v>10º25.87′N</v>
      </c>
      <c r="U150" s="5" t="str">
        <f t="shared" si="17"/>
        <v>068º53.57′W</v>
      </c>
    </row>
    <row r="151" spans="1:21" x14ac:dyDescent="0.2">
      <c r="A151" s="5">
        <v>181</v>
      </c>
      <c r="B151" s="11" t="s">
        <v>836</v>
      </c>
      <c r="C151" s="9" t="s">
        <v>311</v>
      </c>
      <c r="D151" s="9" t="s">
        <v>345</v>
      </c>
      <c r="E151" s="9" t="s">
        <v>755</v>
      </c>
      <c r="F151" s="5">
        <v>10</v>
      </c>
      <c r="G151" s="5">
        <v>17</v>
      </c>
      <c r="H151" s="5">
        <v>42.1</v>
      </c>
      <c r="I151" s="5" t="s">
        <v>132</v>
      </c>
      <c r="J151" s="5">
        <v>68</v>
      </c>
      <c r="K151" s="5">
        <v>39</v>
      </c>
      <c r="L151" s="5">
        <v>41.25</v>
      </c>
      <c r="M151" s="5" t="s">
        <v>138</v>
      </c>
      <c r="N151" s="36" t="s">
        <v>1254</v>
      </c>
      <c r="O151" t="s">
        <v>107</v>
      </c>
      <c r="P151" s="7">
        <f t="shared" si="12"/>
        <v>10.295027777777777</v>
      </c>
      <c r="Q151" s="7">
        <f t="shared" si="13"/>
        <v>-68.661458333333343</v>
      </c>
      <c r="R151" s="7" t="str">
        <f t="shared" si="14"/>
        <v>10º17′42″ N</v>
      </c>
      <c r="S151" s="5" t="str">
        <f t="shared" si="15"/>
        <v>068º39′41″ W</v>
      </c>
      <c r="T151" s="5" t="str">
        <f t="shared" si="16"/>
        <v>10º17.70′N</v>
      </c>
      <c r="U151" s="5" t="str">
        <f t="shared" si="17"/>
        <v>068º39.69′W</v>
      </c>
    </row>
    <row r="152" spans="1:21" x14ac:dyDescent="0.2">
      <c r="A152" s="5">
        <v>223</v>
      </c>
      <c r="B152" s="11" t="s">
        <v>839</v>
      </c>
      <c r="C152" s="9" t="s">
        <v>970</v>
      </c>
      <c r="D152" s="9" t="s">
        <v>107</v>
      </c>
      <c r="E152" s="9" t="s">
        <v>107</v>
      </c>
      <c r="F152" s="5" t="s">
        <v>107</v>
      </c>
      <c r="G152" s="5" t="s">
        <v>107</v>
      </c>
      <c r="H152" s="5" t="s">
        <v>107</v>
      </c>
      <c r="I152" s="5" t="s">
        <v>107</v>
      </c>
      <c r="J152" s="5" t="s">
        <v>107</v>
      </c>
      <c r="K152" s="5" t="s">
        <v>107</v>
      </c>
      <c r="L152" s="5" t="s">
        <v>107</v>
      </c>
      <c r="M152" s="5" t="s">
        <v>107</v>
      </c>
      <c r="N152" s="43" t="s">
        <v>107</v>
      </c>
      <c r="O152" t="s">
        <v>107</v>
      </c>
      <c r="P152" s="7" t="str">
        <f t="shared" si="12"/>
        <v>-</v>
      </c>
      <c r="Q152" s="7" t="str">
        <f t="shared" si="13"/>
        <v>-</v>
      </c>
      <c r="R152" s="7" t="str">
        <f t="shared" si="14"/>
        <v>-</v>
      </c>
      <c r="S152" s="5" t="str">
        <f t="shared" si="15"/>
        <v>-</v>
      </c>
      <c r="T152" s="5" t="str">
        <f t="shared" si="16"/>
        <v>-</v>
      </c>
      <c r="U152" s="5" t="str">
        <f t="shared" si="17"/>
        <v>-</v>
      </c>
    </row>
    <row r="153" spans="1:21" x14ac:dyDescent="0.2">
      <c r="A153" s="5">
        <v>225</v>
      </c>
      <c r="B153" s="11" t="s">
        <v>839</v>
      </c>
      <c r="C153" s="9" t="s">
        <v>786</v>
      </c>
      <c r="D153" s="9" t="s">
        <v>107</v>
      </c>
      <c r="E153" s="9" t="s">
        <v>107</v>
      </c>
      <c r="F153" s="5" t="s">
        <v>107</v>
      </c>
      <c r="G153" s="5" t="s">
        <v>107</v>
      </c>
      <c r="H153" s="5" t="s">
        <v>107</v>
      </c>
      <c r="I153" s="5" t="s">
        <v>107</v>
      </c>
      <c r="J153" s="5" t="s">
        <v>107</v>
      </c>
      <c r="K153" s="5" t="s">
        <v>107</v>
      </c>
      <c r="L153" s="5" t="s">
        <v>107</v>
      </c>
      <c r="M153" s="5" t="s">
        <v>107</v>
      </c>
      <c r="N153" s="43" t="s">
        <v>107</v>
      </c>
      <c r="O153" t="s">
        <v>107</v>
      </c>
      <c r="P153" s="7" t="str">
        <f t="shared" si="12"/>
        <v>-</v>
      </c>
      <c r="Q153" s="7" t="str">
        <f t="shared" si="13"/>
        <v>-</v>
      </c>
      <c r="R153" s="7" t="str">
        <f t="shared" si="14"/>
        <v>-</v>
      </c>
      <c r="S153" s="5" t="str">
        <f t="shared" si="15"/>
        <v>-</v>
      </c>
      <c r="T153" s="5" t="str">
        <f t="shared" si="16"/>
        <v>-</v>
      </c>
      <c r="U153" s="5" t="str">
        <f t="shared" si="17"/>
        <v>-</v>
      </c>
    </row>
    <row r="154" spans="1:21" x14ac:dyDescent="0.2">
      <c r="A154" s="5">
        <v>192</v>
      </c>
      <c r="B154" s="11" t="s">
        <v>839</v>
      </c>
      <c r="C154" s="9" t="s">
        <v>786</v>
      </c>
      <c r="D154" s="9" t="s">
        <v>787</v>
      </c>
      <c r="E154" s="9" t="s">
        <v>788</v>
      </c>
      <c r="F154" s="5">
        <v>50</v>
      </c>
      <c r="G154" s="5">
        <v>31</v>
      </c>
      <c r="H154" s="5">
        <v>0</v>
      </c>
      <c r="I154" s="5" t="s">
        <v>132</v>
      </c>
      <c r="J154" s="5">
        <v>5</v>
      </c>
      <c r="K154" s="5">
        <v>14</v>
      </c>
      <c r="L154" s="5">
        <v>0</v>
      </c>
      <c r="M154" s="5" t="s">
        <v>133</v>
      </c>
      <c r="N154" s="45" t="s">
        <v>163</v>
      </c>
      <c r="O154" t="s">
        <v>107</v>
      </c>
      <c r="P154" s="7">
        <f t="shared" si="12"/>
        <v>50.516666666666666</v>
      </c>
      <c r="Q154" s="7">
        <f t="shared" si="13"/>
        <v>5.2333333333333334</v>
      </c>
      <c r="R154" s="7" t="str">
        <f t="shared" si="14"/>
        <v>50º31′00″ N</v>
      </c>
      <c r="S154" s="5" t="str">
        <f t="shared" si="15"/>
        <v>005º14′00″ E</v>
      </c>
      <c r="T154" s="5" t="str">
        <f t="shared" si="16"/>
        <v>50º31.00′N</v>
      </c>
      <c r="U154" s="5" t="str">
        <f t="shared" si="17"/>
        <v>005º14.00′E</v>
      </c>
    </row>
    <row r="155" spans="1:21" x14ac:dyDescent="0.2">
      <c r="A155" s="5">
        <v>228</v>
      </c>
      <c r="B155" s="11" t="s">
        <v>839</v>
      </c>
      <c r="C155" s="9" t="s">
        <v>158</v>
      </c>
      <c r="D155" s="9" t="s">
        <v>107</v>
      </c>
      <c r="E155" s="9" t="s">
        <v>107</v>
      </c>
      <c r="F155" s="5" t="s">
        <v>107</v>
      </c>
      <c r="G155" s="5" t="s">
        <v>107</v>
      </c>
      <c r="H155" s="5" t="s">
        <v>107</v>
      </c>
      <c r="I155" s="5" t="s">
        <v>107</v>
      </c>
      <c r="J155" s="5" t="s">
        <v>107</v>
      </c>
      <c r="K155" s="5" t="s">
        <v>107</v>
      </c>
      <c r="L155" s="5" t="s">
        <v>107</v>
      </c>
      <c r="M155" s="5" t="s">
        <v>107</v>
      </c>
      <c r="N155" s="43" t="s">
        <v>107</v>
      </c>
      <c r="O155" t="s">
        <v>107</v>
      </c>
      <c r="P155" s="7" t="str">
        <f t="shared" si="12"/>
        <v>-</v>
      </c>
      <c r="Q155" s="7" t="str">
        <f t="shared" si="13"/>
        <v>-</v>
      </c>
      <c r="R155" s="7" t="str">
        <f t="shared" si="14"/>
        <v>-</v>
      </c>
      <c r="S155" s="5" t="str">
        <f t="shared" si="15"/>
        <v>-</v>
      </c>
      <c r="T155" s="5" t="str">
        <f t="shared" si="16"/>
        <v>-</v>
      </c>
      <c r="U155" s="5" t="str">
        <f t="shared" si="17"/>
        <v>-</v>
      </c>
    </row>
    <row r="156" spans="1:21" x14ac:dyDescent="0.2">
      <c r="A156" s="5">
        <v>101</v>
      </c>
      <c r="B156" s="11" t="s">
        <v>839</v>
      </c>
      <c r="C156" s="9" t="s">
        <v>158</v>
      </c>
      <c r="D156" s="9" t="s">
        <v>531</v>
      </c>
      <c r="E156" s="9" t="s">
        <v>532</v>
      </c>
      <c r="F156" s="5">
        <v>31</v>
      </c>
      <c r="G156" s="5">
        <v>32</v>
      </c>
      <c r="H156" s="5">
        <v>0</v>
      </c>
      <c r="I156" s="5" t="s">
        <v>132</v>
      </c>
      <c r="J156" s="5">
        <v>116</v>
      </c>
      <c r="K156" s="5">
        <v>8</v>
      </c>
      <c r="L156" s="5">
        <v>0</v>
      </c>
      <c r="M156" s="5" t="s">
        <v>133</v>
      </c>
      <c r="N156" s="37" t="s">
        <v>1255</v>
      </c>
      <c r="O156" t="s">
        <v>107</v>
      </c>
      <c r="P156" s="7">
        <f t="shared" si="12"/>
        <v>31.533333333333335</v>
      </c>
      <c r="Q156" s="7">
        <f t="shared" si="13"/>
        <v>116.13333333333334</v>
      </c>
      <c r="R156" s="7" t="str">
        <f t="shared" si="14"/>
        <v>31º32′00″ N</v>
      </c>
      <c r="S156" s="5" t="str">
        <f t="shared" si="15"/>
        <v>116º08′00″ E</v>
      </c>
      <c r="T156" s="5" t="str">
        <f t="shared" si="16"/>
        <v>31º32.00′N</v>
      </c>
      <c r="U156" s="5" t="str">
        <f t="shared" si="17"/>
        <v>116º08.00′E</v>
      </c>
    </row>
    <row r="157" spans="1:21" x14ac:dyDescent="0.2">
      <c r="A157" s="5">
        <v>14</v>
      </c>
      <c r="B157" s="11" t="s">
        <v>839</v>
      </c>
      <c r="C157" s="9" t="s">
        <v>158</v>
      </c>
      <c r="D157" s="9" t="s">
        <v>223</v>
      </c>
      <c r="E157" s="9" t="s">
        <v>224</v>
      </c>
      <c r="F157" s="5">
        <v>25</v>
      </c>
      <c r="G157" s="5">
        <v>16</v>
      </c>
      <c r="H157" s="5">
        <v>50.58</v>
      </c>
      <c r="I157" s="5" t="s">
        <v>132</v>
      </c>
      <c r="J157" s="5">
        <v>110</v>
      </c>
      <c r="K157" s="5">
        <v>21</v>
      </c>
      <c r="L157" s="5">
        <v>28</v>
      </c>
      <c r="M157" s="5" t="s">
        <v>133</v>
      </c>
      <c r="N157" s="46" t="s">
        <v>1256</v>
      </c>
      <c r="O157" t="s">
        <v>107</v>
      </c>
      <c r="P157" s="7">
        <f t="shared" si="12"/>
        <v>25.280716666666667</v>
      </c>
      <c r="Q157" s="7">
        <f t="shared" si="13"/>
        <v>110.35777777777777</v>
      </c>
      <c r="R157" s="7" t="str">
        <f t="shared" si="14"/>
        <v>25º16′51″ N</v>
      </c>
      <c r="S157" s="5" t="str">
        <f t="shared" si="15"/>
        <v>110º21′28″ E</v>
      </c>
      <c r="T157" s="5" t="str">
        <f t="shared" si="16"/>
        <v>25º16.84′N</v>
      </c>
      <c r="U157" s="5" t="str">
        <f t="shared" si="17"/>
        <v>110º21.47′E</v>
      </c>
    </row>
    <row r="158" spans="1:21" x14ac:dyDescent="0.2">
      <c r="A158" s="5">
        <v>3</v>
      </c>
      <c r="B158" s="11" t="s">
        <v>839</v>
      </c>
      <c r="C158" s="9" t="s">
        <v>158</v>
      </c>
      <c r="D158" s="9" t="s">
        <v>159</v>
      </c>
      <c r="E158" s="9" t="s">
        <v>160</v>
      </c>
      <c r="F158" s="5">
        <v>31</v>
      </c>
      <c r="G158" s="5">
        <v>32</v>
      </c>
      <c r="H158" s="5">
        <v>13</v>
      </c>
      <c r="I158" s="5" t="s">
        <v>132</v>
      </c>
      <c r="J158" s="5">
        <v>114</v>
      </c>
      <c r="K158" s="5">
        <v>58</v>
      </c>
      <c r="L158" s="5">
        <v>59</v>
      </c>
      <c r="M158" s="5" t="s">
        <v>133</v>
      </c>
      <c r="N158" s="37" t="s">
        <v>1257</v>
      </c>
      <c r="O158" t="s">
        <v>107</v>
      </c>
      <c r="P158" s="7">
        <f t="shared" si="12"/>
        <v>31.536944444444448</v>
      </c>
      <c r="Q158" s="7">
        <f t="shared" si="13"/>
        <v>114.98305555555555</v>
      </c>
      <c r="R158" s="7" t="str">
        <f t="shared" si="14"/>
        <v>31º32′13″ N</v>
      </c>
      <c r="S158" s="5" t="str">
        <f t="shared" si="15"/>
        <v>114º58′59″ E</v>
      </c>
      <c r="T158" s="5" t="str">
        <f t="shared" si="16"/>
        <v>31º32.22′N</v>
      </c>
      <c r="U158" s="5" t="str">
        <f t="shared" si="17"/>
        <v>114º58.98′E</v>
      </c>
    </row>
    <row r="159" spans="1:21" x14ac:dyDescent="0.2">
      <c r="A159" s="5">
        <v>232</v>
      </c>
      <c r="B159" s="11" t="s">
        <v>839</v>
      </c>
      <c r="C159" s="9" t="s">
        <v>464</v>
      </c>
      <c r="D159" s="9" t="s">
        <v>107</v>
      </c>
      <c r="E159" s="9" t="s">
        <v>107</v>
      </c>
      <c r="F159" s="5" t="s">
        <v>107</v>
      </c>
      <c r="G159" s="5" t="s">
        <v>107</v>
      </c>
      <c r="H159" s="5" t="s">
        <v>107</v>
      </c>
      <c r="I159" s="5" t="s">
        <v>107</v>
      </c>
      <c r="J159" s="5" t="s">
        <v>107</v>
      </c>
      <c r="K159" s="5" t="s">
        <v>107</v>
      </c>
      <c r="L159" s="5" t="s">
        <v>107</v>
      </c>
      <c r="M159" s="5" t="s">
        <v>107</v>
      </c>
      <c r="N159" s="43" t="s">
        <v>107</v>
      </c>
      <c r="O159" t="s">
        <v>107</v>
      </c>
      <c r="P159" s="7" t="str">
        <f t="shared" si="12"/>
        <v>-</v>
      </c>
      <c r="Q159" s="7" t="str">
        <f t="shared" si="13"/>
        <v>-</v>
      </c>
      <c r="R159" s="7" t="str">
        <f t="shared" si="14"/>
        <v>-</v>
      </c>
      <c r="S159" s="5" t="str">
        <f t="shared" si="15"/>
        <v>-</v>
      </c>
      <c r="T159" s="5" t="str">
        <f t="shared" si="16"/>
        <v>-</v>
      </c>
      <c r="U159" s="5" t="str">
        <f t="shared" si="17"/>
        <v>-</v>
      </c>
    </row>
    <row r="160" spans="1:21" x14ac:dyDescent="0.2">
      <c r="A160" s="5">
        <v>76</v>
      </c>
      <c r="B160" s="11" t="s">
        <v>839</v>
      </c>
      <c r="C160" s="9" t="s">
        <v>464</v>
      </c>
      <c r="D160" s="9" t="s">
        <v>465</v>
      </c>
      <c r="E160" s="9" t="s">
        <v>466</v>
      </c>
      <c r="F160" s="5">
        <v>45</v>
      </c>
      <c r="G160" s="5">
        <v>48</v>
      </c>
      <c r="H160" s="5">
        <v>54</v>
      </c>
      <c r="I160" s="5" t="s">
        <v>132</v>
      </c>
      <c r="J160" s="5">
        <v>15</v>
      </c>
      <c r="K160" s="5">
        <v>58</v>
      </c>
      <c r="L160" s="5">
        <v>54</v>
      </c>
      <c r="M160" s="5" t="s">
        <v>133</v>
      </c>
      <c r="N160" s="45" t="s">
        <v>163</v>
      </c>
      <c r="O160" t="s">
        <v>107</v>
      </c>
      <c r="P160" s="7">
        <f t="shared" si="12"/>
        <v>45.814999999999998</v>
      </c>
      <c r="Q160" s="7">
        <f t="shared" si="13"/>
        <v>15.981666666666667</v>
      </c>
      <c r="R160" s="7" t="str">
        <f t="shared" si="14"/>
        <v>45º48′54″ N</v>
      </c>
      <c r="S160" s="5" t="str">
        <f t="shared" si="15"/>
        <v>015º58′54″ E</v>
      </c>
      <c r="T160" s="5" t="str">
        <f t="shared" si="16"/>
        <v>45º48.90′N</v>
      </c>
      <c r="U160" s="5" t="str">
        <f t="shared" si="17"/>
        <v>015º58.90′E</v>
      </c>
    </row>
    <row r="161" spans="1:21" x14ac:dyDescent="0.2">
      <c r="A161" s="5">
        <v>233</v>
      </c>
      <c r="B161" s="11" t="s">
        <v>839</v>
      </c>
      <c r="C161" s="9" t="s">
        <v>191</v>
      </c>
      <c r="D161" s="9" t="s">
        <v>107</v>
      </c>
      <c r="E161" s="9" t="s">
        <v>107</v>
      </c>
      <c r="F161" s="5" t="s">
        <v>107</v>
      </c>
      <c r="G161" s="5" t="s">
        <v>107</v>
      </c>
      <c r="H161" s="5" t="s">
        <v>107</v>
      </c>
      <c r="I161" s="5" t="s">
        <v>107</v>
      </c>
      <c r="J161" s="5" t="s">
        <v>107</v>
      </c>
      <c r="K161" s="5" t="s">
        <v>107</v>
      </c>
      <c r="L161" s="5" t="s">
        <v>107</v>
      </c>
      <c r="M161" s="5" t="s">
        <v>107</v>
      </c>
      <c r="N161" s="43" t="s">
        <v>107</v>
      </c>
      <c r="O161" t="s">
        <v>107</v>
      </c>
      <c r="P161" s="7" t="str">
        <f t="shared" si="12"/>
        <v>-</v>
      </c>
      <c r="Q161" s="7" t="str">
        <f t="shared" si="13"/>
        <v>-</v>
      </c>
      <c r="R161" s="7" t="str">
        <f t="shared" si="14"/>
        <v>-</v>
      </c>
      <c r="S161" s="5" t="str">
        <f t="shared" si="15"/>
        <v>-</v>
      </c>
      <c r="T161" s="5" t="str">
        <f t="shared" si="16"/>
        <v>-</v>
      </c>
      <c r="U161" s="5" t="str">
        <f t="shared" si="17"/>
        <v>-</v>
      </c>
    </row>
    <row r="162" spans="1:21" x14ac:dyDescent="0.2">
      <c r="A162" s="5">
        <v>78</v>
      </c>
      <c r="B162" s="11" t="s">
        <v>839</v>
      </c>
      <c r="C162" s="9" t="s">
        <v>191</v>
      </c>
      <c r="D162" s="9" t="s">
        <v>198</v>
      </c>
      <c r="E162" s="9" t="s">
        <v>198</v>
      </c>
      <c r="F162" s="5">
        <v>49</v>
      </c>
      <c r="G162" s="5">
        <v>21</v>
      </c>
      <c r="H162" s="5">
        <v>53</v>
      </c>
      <c r="I162" s="5" t="s">
        <v>132</v>
      </c>
      <c r="J162" s="5">
        <v>16</v>
      </c>
      <c r="K162" s="5">
        <v>38</v>
      </c>
      <c r="L162" s="5">
        <v>51</v>
      </c>
      <c r="M162" s="5" t="s">
        <v>138</v>
      </c>
      <c r="N162" s="45" t="s">
        <v>163</v>
      </c>
      <c r="O162" t="s">
        <v>107</v>
      </c>
      <c r="P162" s="7">
        <f t="shared" si="12"/>
        <v>49.364722222222227</v>
      </c>
      <c r="Q162" s="7">
        <f t="shared" si="13"/>
        <v>-16.647500000000001</v>
      </c>
      <c r="R162" s="7" t="str">
        <f t="shared" si="14"/>
        <v>49º21′53″ N</v>
      </c>
      <c r="S162" s="5" t="str">
        <f t="shared" si="15"/>
        <v>016º38′51″ W</v>
      </c>
      <c r="T162" s="5" t="str">
        <f t="shared" si="16"/>
        <v>49º21.88′N</v>
      </c>
      <c r="U162" s="5" t="str">
        <f t="shared" si="17"/>
        <v>016º38.85′W</v>
      </c>
    </row>
    <row r="163" spans="1:21" x14ac:dyDescent="0.2">
      <c r="A163" s="5">
        <v>10</v>
      </c>
      <c r="B163" s="11" t="s">
        <v>839</v>
      </c>
      <c r="C163" s="8" t="s">
        <v>191</v>
      </c>
      <c r="D163" s="8" t="s">
        <v>198</v>
      </c>
      <c r="E163" s="8" t="s">
        <v>199</v>
      </c>
      <c r="F163" s="5">
        <v>49</v>
      </c>
      <c r="G163" s="5">
        <v>16</v>
      </c>
      <c r="H163" s="5">
        <v>41</v>
      </c>
      <c r="I163" s="5" t="s">
        <v>132</v>
      </c>
      <c r="J163" s="5">
        <v>16</v>
      </c>
      <c r="K163" s="5">
        <v>44</v>
      </c>
      <c r="L163" s="5">
        <v>3</v>
      </c>
      <c r="M163" s="5" t="s">
        <v>133</v>
      </c>
      <c r="N163" s="45" t="s">
        <v>163</v>
      </c>
      <c r="O163" t="s">
        <v>107</v>
      </c>
      <c r="P163" s="7">
        <f t="shared" si="12"/>
        <v>49.278055555555554</v>
      </c>
      <c r="Q163" s="7">
        <f t="shared" si="13"/>
        <v>16.734166666666667</v>
      </c>
      <c r="R163" s="7" t="str">
        <f t="shared" si="14"/>
        <v>49º16′41″ N</v>
      </c>
      <c r="S163" s="5" t="str">
        <f t="shared" si="15"/>
        <v>016º44′03″ E</v>
      </c>
      <c r="T163" s="5" t="str">
        <f t="shared" si="16"/>
        <v>49º16.68′N</v>
      </c>
      <c r="U163" s="5" t="str">
        <f t="shared" si="17"/>
        <v>016º44.05′E</v>
      </c>
    </row>
    <row r="164" spans="1:21" x14ac:dyDescent="0.2">
      <c r="A164" s="5">
        <v>8</v>
      </c>
      <c r="B164" s="11" t="s">
        <v>839</v>
      </c>
      <c r="C164" s="9" t="s">
        <v>191</v>
      </c>
      <c r="D164" s="9" t="s">
        <v>192</v>
      </c>
      <c r="E164" t="s">
        <v>193</v>
      </c>
      <c r="F164" s="5">
        <v>50</v>
      </c>
      <c r="G164" s="5">
        <v>14</v>
      </c>
      <c r="H164" s="5">
        <v>35</v>
      </c>
      <c r="I164" s="5" t="s">
        <v>132</v>
      </c>
      <c r="J164" s="5">
        <v>17</v>
      </c>
      <c r="K164" s="5">
        <v>8</v>
      </c>
      <c r="L164" s="5">
        <v>56</v>
      </c>
      <c r="M164" s="5" t="s">
        <v>133</v>
      </c>
      <c r="N164" s="45" t="s">
        <v>163</v>
      </c>
      <c r="O164" t="s">
        <v>107</v>
      </c>
      <c r="P164" s="7">
        <f t="shared" si="12"/>
        <v>50.243055555555557</v>
      </c>
      <c r="Q164" s="7">
        <f t="shared" si="13"/>
        <v>17.148888888888887</v>
      </c>
      <c r="R164" s="7" t="str">
        <f t="shared" si="14"/>
        <v>50º14′35″ N</v>
      </c>
      <c r="S164" s="5" t="str">
        <f t="shared" si="15"/>
        <v>017º08′56″ E</v>
      </c>
      <c r="T164" s="5" t="str">
        <f t="shared" si="16"/>
        <v>50º14.58′N</v>
      </c>
      <c r="U164" s="5" t="str">
        <f t="shared" si="17"/>
        <v>017º08.93′E</v>
      </c>
    </row>
    <row r="165" spans="1:21" x14ac:dyDescent="0.2">
      <c r="A165" s="5">
        <v>9</v>
      </c>
      <c r="B165" s="11" t="s">
        <v>839</v>
      </c>
      <c r="C165" s="8" t="s">
        <v>191</v>
      </c>
      <c r="D165" t="s">
        <v>192</v>
      </c>
      <c r="E165" t="s">
        <v>194</v>
      </c>
      <c r="F165" s="5">
        <v>50</v>
      </c>
      <c r="G165" s="5">
        <v>13</v>
      </c>
      <c r="H165" s="5">
        <v>47</v>
      </c>
      <c r="I165" s="5" t="s">
        <v>132</v>
      </c>
      <c r="J165" s="5">
        <v>17</v>
      </c>
      <c r="K165" s="5">
        <v>12</v>
      </c>
      <c r="L165" s="5">
        <v>17</v>
      </c>
      <c r="M165" s="5" t="s">
        <v>133</v>
      </c>
      <c r="N165" s="45" t="s">
        <v>163</v>
      </c>
      <c r="O165" t="s">
        <v>107</v>
      </c>
      <c r="P165" s="7">
        <f t="shared" si="12"/>
        <v>50.229722222222222</v>
      </c>
      <c r="Q165" s="7">
        <f t="shared" si="13"/>
        <v>17.204722222222223</v>
      </c>
      <c r="R165" s="7" t="str">
        <f t="shared" si="14"/>
        <v>50º13′47″ N</v>
      </c>
      <c r="S165" s="5" t="str">
        <f t="shared" si="15"/>
        <v>017º12′17″ E</v>
      </c>
      <c r="T165" s="5" t="str">
        <f t="shared" si="16"/>
        <v>50º13.78′N</v>
      </c>
      <c r="U165" s="5" t="str">
        <f t="shared" si="17"/>
        <v>017º12.28′E</v>
      </c>
    </row>
    <row r="166" spans="1:21" x14ac:dyDescent="0.2">
      <c r="A166" s="5">
        <v>97</v>
      </c>
      <c r="B166" s="11" t="s">
        <v>839</v>
      </c>
      <c r="C166" s="9" t="s">
        <v>191</v>
      </c>
      <c r="D166" s="9" t="s">
        <v>520</v>
      </c>
      <c r="E166" s="9" t="s">
        <v>521</v>
      </c>
      <c r="F166" s="5">
        <v>49</v>
      </c>
      <c r="G166" s="5">
        <v>30</v>
      </c>
      <c r="H166" s="5">
        <v>6</v>
      </c>
      <c r="I166" s="5" t="s">
        <v>132</v>
      </c>
      <c r="J166" s="5">
        <v>13</v>
      </c>
      <c r="K166" s="5">
        <v>17</v>
      </c>
      <c r="L166" s="5">
        <v>40</v>
      </c>
      <c r="M166" s="5" t="s">
        <v>133</v>
      </c>
      <c r="N166" s="45" t="s">
        <v>163</v>
      </c>
      <c r="O166" t="s">
        <v>107</v>
      </c>
      <c r="P166" s="7">
        <f t="shared" si="12"/>
        <v>49.501666666666665</v>
      </c>
      <c r="Q166" s="7">
        <f t="shared" si="13"/>
        <v>13.294444444444444</v>
      </c>
      <c r="R166" s="7" t="str">
        <f t="shared" si="14"/>
        <v>49º30′06″ N</v>
      </c>
      <c r="S166" s="5" t="str">
        <f t="shared" si="15"/>
        <v>013º17′40″ E</v>
      </c>
      <c r="T166" s="5" t="str">
        <f t="shared" si="16"/>
        <v>49º30.10′N</v>
      </c>
      <c r="U166" s="5" t="str">
        <f t="shared" si="17"/>
        <v>013º17.67′E</v>
      </c>
    </row>
    <row r="167" spans="1:21" x14ac:dyDescent="0.2">
      <c r="A167" s="5">
        <v>64</v>
      </c>
      <c r="B167" s="11" t="s">
        <v>839</v>
      </c>
      <c r="C167" s="9" t="s">
        <v>424</v>
      </c>
      <c r="D167" s="9" t="s">
        <v>107</v>
      </c>
      <c r="E167" s="9" t="s">
        <v>107</v>
      </c>
      <c r="F167" s="5" t="s">
        <v>107</v>
      </c>
      <c r="G167" s="5" t="s">
        <v>107</v>
      </c>
      <c r="H167" s="5" t="s">
        <v>107</v>
      </c>
      <c r="I167" s="5" t="s">
        <v>107</v>
      </c>
      <c r="J167" s="5" t="s">
        <v>107</v>
      </c>
      <c r="K167" s="5" t="s">
        <v>107</v>
      </c>
      <c r="L167" s="5" t="s">
        <v>107</v>
      </c>
      <c r="M167" s="5" t="s">
        <v>107</v>
      </c>
      <c r="N167" s="45" t="s">
        <v>107</v>
      </c>
      <c r="O167" t="s">
        <v>107</v>
      </c>
      <c r="P167" s="7" t="str">
        <f t="shared" si="12"/>
        <v>-</v>
      </c>
      <c r="Q167" s="7" t="str">
        <f t="shared" si="13"/>
        <v>-</v>
      </c>
      <c r="R167" s="7" t="str">
        <f t="shared" si="14"/>
        <v>-</v>
      </c>
      <c r="S167" s="5" t="str">
        <f t="shared" si="15"/>
        <v>-</v>
      </c>
      <c r="T167" s="5" t="str">
        <f t="shared" si="16"/>
        <v>-</v>
      </c>
      <c r="U167" s="5" t="str">
        <f t="shared" si="17"/>
        <v>-</v>
      </c>
    </row>
    <row r="168" spans="1:21" x14ac:dyDescent="0.2">
      <c r="A168" s="5">
        <v>236</v>
      </c>
      <c r="B168" s="11" t="s">
        <v>839</v>
      </c>
      <c r="C168" s="9" t="s">
        <v>456</v>
      </c>
      <c r="D168" s="9" t="s">
        <v>107</v>
      </c>
      <c r="E168" s="9" t="s">
        <v>107</v>
      </c>
      <c r="F168" s="5" t="s">
        <v>107</v>
      </c>
      <c r="G168" s="5" t="s">
        <v>107</v>
      </c>
      <c r="H168" s="5" t="s">
        <v>107</v>
      </c>
      <c r="I168" s="5" t="s">
        <v>107</v>
      </c>
      <c r="J168" s="5" t="s">
        <v>107</v>
      </c>
      <c r="K168" s="5" t="s">
        <v>107</v>
      </c>
      <c r="L168" s="5" t="s">
        <v>107</v>
      </c>
      <c r="M168" s="5" t="s">
        <v>107</v>
      </c>
      <c r="N168" s="43" t="s">
        <v>107</v>
      </c>
      <c r="O168" t="s">
        <v>107</v>
      </c>
      <c r="P168" s="7" t="str">
        <f t="shared" si="12"/>
        <v>-</v>
      </c>
      <c r="Q168" s="7" t="str">
        <f t="shared" si="13"/>
        <v>-</v>
      </c>
      <c r="R168" s="7" t="str">
        <f t="shared" si="14"/>
        <v>-</v>
      </c>
      <c r="S168" s="5" t="str">
        <f t="shared" si="15"/>
        <v>-</v>
      </c>
      <c r="T168" s="5" t="str">
        <f t="shared" si="16"/>
        <v>-</v>
      </c>
      <c r="U168" s="5" t="str">
        <f t="shared" si="17"/>
        <v>-</v>
      </c>
    </row>
    <row r="169" spans="1:21" x14ac:dyDescent="0.2">
      <c r="A169" s="5">
        <v>190</v>
      </c>
      <c r="B169" s="11" t="s">
        <v>839</v>
      </c>
      <c r="C169" s="9" t="s">
        <v>456</v>
      </c>
      <c r="D169" s="9" t="s">
        <v>107</v>
      </c>
      <c r="E169" s="9" t="s">
        <v>780</v>
      </c>
      <c r="F169" s="5" t="s">
        <v>107</v>
      </c>
      <c r="G169" s="5" t="s">
        <v>107</v>
      </c>
      <c r="H169" s="5" t="s">
        <v>107</v>
      </c>
      <c r="I169" s="5" t="s">
        <v>107</v>
      </c>
      <c r="J169" s="5" t="s">
        <v>107</v>
      </c>
      <c r="K169" s="5" t="s">
        <v>107</v>
      </c>
      <c r="L169" s="5" t="s">
        <v>107</v>
      </c>
      <c r="M169" s="5" t="s">
        <v>107</v>
      </c>
      <c r="N169" s="43" t="s">
        <v>107</v>
      </c>
      <c r="O169" t="s">
        <v>107</v>
      </c>
      <c r="P169" s="7" t="str">
        <f t="shared" si="12"/>
        <v>-</v>
      </c>
      <c r="Q169" s="7" t="str">
        <f t="shared" si="13"/>
        <v>-</v>
      </c>
      <c r="R169" s="7" t="str">
        <f t="shared" si="14"/>
        <v>-</v>
      </c>
      <c r="S169" s="5" t="str">
        <f t="shared" si="15"/>
        <v>-</v>
      </c>
      <c r="T169" s="5" t="str">
        <f t="shared" si="16"/>
        <v>-</v>
      </c>
      <c r="U169" s="5" t="str">
        <f t="shared" si="17"/>
        <v>-</v>
      </c>
    </row>
    <row r="170" spans="1:21" x14ac:dyDescent="0.2">
      <c r="A170" s="5">
        <v>75</v>
      </c>
      <c r="B170" s="11" t="s">
        <v>839</v>
      </c>
      <c r="C170" s="9" t="s">
        <v>456</v>
      </c>
      <c r="D170" s="9" t="s">
        <v>457</v>
      </c>
      <c r="E170" s="9" t="s">
        <v>458</v>
      </c>
      <c r="F170" s="5">
        <v>43</v>
      </c>
      <c r="G170" s="5">
        <v>41</v>
      </c>
      <c r="H170" s="5">
        <v>0</v>
      </c>
      <c r="I170" s="5" t="s">
        <v>132</v>
      </c>
      <c r="J170" s="5">
        <v>5</v>
      </c>
      <c r="K170" s="5">
        <v>40</v>
      </c>
      <c r="L170" s="5">
        <v>0</v>
      </c>
      <c r="M170" s="5" t="s">
        <v>133</v>
      </c>
      <c r="N170" s="45" t="s">
        <v>163</v>
      </c>
      <c r="O170" t="s">
        <v>107</v>
      </c>
      <c r="P170" s="7">
        <f t="shared" si="12"/>
        <v>43.68333333333333</v>
      </c>
      <c r="Q170" s="7">
        <f t="shared" si="13"/>
        <v>5.666666666666667</v>
      </c>
      <c r="R170" s="7" t="str">
        <f t="shared" si="14"/>
        <v>43º41′00″ N</v>
      </c>
      <c r="S170" s="5" t="str">
        <f t="shared" si="15"/>
        <v>005º40′00″ E</v>
      </c>
      <c r="T170" s="5" t="str">
        <f t="shared" si="16"/>
        <v>43º41.00′N</v>
      </c>
      <c r="U170" s="5" t="str">
        <f t="shared" si="17"/>
        <v>005º40.00′E</v>
      </c>
    </row>
    <row r="171" spans="1:21" x14ac:dyDescent="0.2">
      <c r="A171" s="5">
        <v>184</v>
      </c>
      <c r="B171" s="11" t="s">
        <v>839</v>
      </c>
      <c r="C171" s="9" t="s">
        <v>456</v>
      </c>
      <c r="D171" s="9" t="s">
        <v>768</v>
      </c>
      <c r="E171" s="9" t="s">
        <v>769</v>
      </c>
      <c r="F171" s="5" t="s">
        <v>107</v>
      </c>
      <c r="G171" s="5" t="s">
        <v>107</v>
      </c>
      <c r="H171" s="5" t="s">
        <v>107</v>
      </c>
      <c r="I171" s="5" t="s">
        <v>107</v>
      </c>
      <c r="J171" s="5" t="s">
        <v>107</v>
      </c>
      <c r="K171" s="5" t="s">
        <v>107</v>
      </c>
      <c r="L171" s="5" t="s">
        <v>107</v>
      </c>
      <c r="M171" s="5" t="s">
        <v>107</v>
      </c>
      <c r="N171" s="45" t="s">
        <v>107</v>
      </c>
      <c r="O171" t="s">
        <v>107</v>
      </c>
      <c r="P171" s="7" t="str">
        <f t="shared" si="12"/>
        <v>-</v>
      </c>
      <c r="Q171" s="7" t="str">
        <f t="shared" si="13"/>
        <v>-</v>
      </c>
      <c r="R171" s="7" t="str">
        <f t="shared" si="14"/>
        <v>-</v>
      </c>
      <c r="S171" s="5" t="str">
        <f t="shared" si="15"/>
        <v>-</v>
      </c>
      <c r="T171" s="5" t="str">
        <f t="shared" si="16"/>
        <v>-</v>
      </c>
      <c r="U171" s="5" t="str">
        <f t="shared" si="17"/>
        <v>-</v>
      </c>
    </row>
    <row r="172" spans="1:21" x14ac:dyDescent="0.2">
      <c r="A172" s="5">
        <v>186</v>
      </c>
      <c r="B172" s="11" t="s">
        <v>839</v>
      </c>
      <c r="C172" s="9" t="s">
        <v>456</v>
      </c>
      <c r="D172" s="9" t="s">
        <v>772</v>
      </c>
      <c r="E172" s="9" t="s">
        <v>773</v>
      </c>
      <c r="F172" s="5" t="s">
        <v>107</v>
      </c>
      <c r="G172" s="5" t="s">
        <v>107</v>
      </c>
      <c r="H172" s="5" t="s">
        <v>107</v>
      </c>
      <c r="I172" s="5" t="s">
        <v>107</v>
      </c>
      <c r="J172" s="5" t="s">
        <v>107</v>
      </c>
      <c r="K172" s="5" t="s">
        <v>107</v>
      </c>
      <c r="L172" s="5" t="s">
        <v>107</v>
      </c>
      <c r="M172" s="5" t="s">
        <v>107</v>
      </c>
      <c r="N172" s="45" t="s">
        <v>107</v>
      </c>
      <c r="O172" t="s">
        <v>107</v>
      </c>
      <c r="P172" s="7" t="str">
        <f t="shared" si="12"/>
        <v>-</v>
      </c>
      <c r="Q172" s="7" t="str">
        <f t="shared" si="13"/>
        <v>-</v>
      </c>
      <c r="R172" s="7" t="str">
        <f t="shared" si="14"/>
        <v>-</v>
      </c>
      <c r="S172" s="5" t="str">
        <f t="shared" si="15"/>
        <v>-</v>
      </c>
      <c r="T172" s="5" t="str">
        <f t="shared" si="16"/>
        <v>-</v>
      </c>
      <c r="U172" s="5" t="str">
        <f t="shared" si="17"/>
        <v>-</v>
      </c>
    </row>
    <row r="173" spans="1:21" x14ac:dyDescent="0.2">
      <c r="A173" s="5">
        <v>185</v>
      </c>
      <c r="B173" s="11" t="s">
        <v>839</v>
      </c>
      <c r="C173" s="9" t="s">
        <v>456</v>
      </c>
      <c r="D173" s="9" t="s">
        <v>770</v>
      </c>
      <c r="E173" s="9" t="s">
        <v>771</v>
      </c>
      <c r="F173" s="5">
        <v>48</v>
      </c>
      <c r="G173" s="5">
        <v>27</v>
      </c>
      <c r="H173" s="5">
        <v>22</v>
      </c>
      <c r="I173" s="5" t="s">
        <v>132</v>
      </c>
      <c r="J173" s="5">
        <v>1</v>
      </c>
      <c r="K173" s="5">
        <v>29</v>
      </c>
      <c r="L173" s="5">
        <v>2</v>
      </c>
      <c r="M173" s="5" t="s">
        <v>133</v>
      </c>
      <c r="N173" s="45" t="s">
        <v>163</v>
      </c>
      <c r="O173" t="s">
        <v>107</v>
      </c>
      <c r="P173" s="7">
        <f t="shared" si="12"/>
        <v>48.456111111111113</v>
      </c>
      <c r="Q173" s="7">
        <f t="shared" si="13"/>
        <v>1.483888888888889</v>
      </c>
      <c r="R173" s="7" t="str">
        <f t="shared" si="14"/>
        <v>48º27′22″ N</v>
      </c>
      <c r="S173" s="5" t="str">
        <f t="shared" si="15"/>
        <v>001º29′02″ E</v>
      </c>
      <c r="T173" s="5" t="str">
        <f t="shared" si="16"/>
        <v>48º27.37′N</v>
      </c>
      <c r="U173" s="5" t="str">
        <f t="shared" si="17"/>
        <v>001º29.03′E</v>
      </c>
    </row>
    <row r="174" spans="1:21" x14ac:dyDescent="0.2">
      <c r="A174" s="5">
        <v>191</v>
      </c>
      <c r="B174" s="11" t="s">
        <v>839</v>
      </c>
      <c r="C174" s="9" t="s">
        <v>456</v>
      </c>
      <c r="D174" s="9" t="s">
        <v>770</v>
      </c>
      <c r="E174" s="9" t="s">
        <v>783</v>
      </c>
      <c r="F174" s="5" t="s">
        <v>107</v>
      </c>
      <c r="G174" s="5" t="s">
        <v>107</v>
      </c>
      <c r="H174" s="5" t="s">
        <v>107</v>
      </c>
      <c r="I174" s="5" t="s">
        <v>107</v>
      </c>
      <c r="J174" s="5" t="s">
        <v>107</v>
      </c>
      <c r="K174" s="5" t="s">
        <v>107</v>
      </c>
      <c r="L174" s="5" t="s">
        <v>107</v>
      </c>
      <c r="M174" s="5" t="s">
        <v>107</v>
      </c>
      <c r="N174" s="43" t="s">
        <v>107</v>
      </c>
      <c r="O174" t="s">
        <v>107</v>
      </c>
      <c r="P174" s="7" t="str">
        <f t="shared" si="12"/>
        <v>-</v>
      </c>
      <c r="Q174" s="7" t="str">
        <f t="shared" si="13"/>
        <v>-</v>
      </c>
      <c r="R174" s="7" t="str">
        <f t="shared" si="14"/>
        <v>-</v>
      </c>
      <c r="S174" s="5" t="str">
        <f t="shared" si="15"/>
        <v>-</v>
      </c>
      <c r="T174" s="5" t="str">
        <f t="shared" si="16"/>
        <v>-</v>
      </c>
      <c r="U174" s="5" t="str">
        <f t="shared" si="17"/>
        <v>-</v>
      </c>
    </row>
    <row r="175" spans="1:21" x14ac:dyDescent="0.2">
      <c r="A175" s="5">
        <v>187</v>
      </c>
      <c r="B175" s="11" t="s">
        <v>839</v>
      </c>
      <c r="C175" s="9" t="s">
        <v>456</v>
      </c>
      <c r="D175" s="9" t="s">
        <v>775</v>
      </c>
      <c r="E175" s="9" t="s">
        <v>774</v>
      </c>
      <c r="F175" s="5" t="s">
        <v>107</v>
      </c>
      <c r="G175" s="5" t="s">
        <v>107</v>
      </c>
      <c r="H175" s="5" t="s">
        <v>107</v>
      </c>
      <c r="I175" s="5" t="s">
        <v>107</v>
      </c>
      <c r="J175" s="5" t="s">
        <v>107</v>
      </c>
      <c r="K175" s="5" t="s">
        <v>107</v>
      </c>
      <c r="L175" s="5" t="s">
        <v>107</v>
      </c>
      <c r="M175" s="5" t="s">
        <v>107</v>
      </c>
      <c r="N175" s="45" t="s">
        <v>107</v>
      </c>
      <c r="O175" t="s">
        <v>107</v>
      </c>
      <c r="P175" s="7" t="str">
        <f t="shared" si="12"/>
        <v>-</v>
      </c>
      <c r="Q175" s="7" t="str">
        <f t="shared" si="13"/>
        <v>-</v>
      </c>
      <c r="R175" s="7" t="str">
        <f t="shared" si="14"/>
        <v>-</v>
      </c>
      <c r="S175" s="5" t="str">
        <f t="shared" si="15"/>
        <v>-</v>
      </c>
      <c r="T175" s="5" t="str">
        <f t="shared" si="16"/>
        <v>-</v>
      </c>
      <c r="U175" s="5" t="str">
        <f t="shared" si="17"/>
        <v>-</v>
      </c>
    </row>
    <row r="176" spans="1:21" x14ac:dyDescent="0.2">
      <c r="A176" s="5">
        <v>188</v>
      </c>
      <c r="B176" s="11" t="s">
        <v>839</v>
      </c>
      <c r="C176" s="9" t="s">
        <v>456</v>
      </c>
      <c r="D176" s="9" t="s">
        <v>776</v>
      </c>
      <c r="E176" s="9" t="s">
        <v>777</v>
      </c>
      <c r="F176" s="5" t="s">
        <v>107</v>
      </c>
      <c r="G176" s="5" t="s">
        <v>107</v>
      </c>
      <c r="H176" s="5" t="s">
        <v>107</v>
      </c>
      <c r="I176" s="5" t="s">
        <v>107</v>
      </c>
      <c r="J176" s="5" t="s">
        <v>107</v>
      </c>
      <c r="K176" s="5" t="s">
        <v>107</v>
      </c>
      <c r="L176" s="5" t="s">
        <v>107</v>
      </c>
      <c r="M176" s="5" t="s">
        <v>107</v>
      </c>
      <c r="N176" s="45" t="s">
        <v>107</v>
      </c>
      <c r="O176" t="s">
        <v>107</v>
      </c>
      <c r="P176" s="7" t="str">
        <f t="shared" si="12"/>
        <v>-</v>
      </c>
      <c r="Q176" s="7" t="str">
        <f t="shared" si="13"/>
        <v>-</v>
      </c>
      <c r="R176" s="7" t="str">
        <f t="shared" si="14"/>
        <v>-</v>
      </c>
      <c r="S176" s="5" t="str">
        <f t="shared" si="15"/>
        <v>-</v>
      </c>
      <c r="T176" s="5" t="str">
        <f t="shared" si="16"/>
        <v>-</v>
      </c>
      <c r="U176" s="5" t="str">
        <f t="shared" si="17"/>
        <v>-</v>
      </c>
    </row>
    <row r="177" spans="1:21" x14ac:dyDescent="0.2">
      <c r="A177" s="5">
        <v>183</v>
      </c>
      <c r="B177" s="11" t="s">
        <v>839</v>
      </c>
      <c r="C177" s="9" t="s">
        <v>456</v>
      </c>
      <c r="D177" s="9" t="s">
        <v>766</v>
      </c>
      <c r="E177" s="9" t="s">
        <v>767</v>
      </c>
      <c r="F177" s="5">
        <v>45</v>
      </c>
      <c r="G177" s="5">
        <v>9</v>
      </c>
      <c r="H177" s="5">
        <v>7</v>
      </c>
      <c r="I177" s="5" t="s">
        <v>132</v>
      </c>
      <c r="J177" s="5">
        <v>2</v>
      </c>
      <c r="K177" s="5">
        <v>0</v>
      </c>
      <c r="L177" s="5">
        <v>36</v>
      </c>
      <c r="M177" s="5" t="s">
        <v>133</v>
      </c>
      <c r="N177" s="43" t="s">
        <v>163</v>
      </c>
      <c r="O177" t="s">
        <v>107</v>
      </c>
      <c r="P177" s="7">
        <f t="shared" si="12"/>
        <v>45.151944444444446</v>
      </c>
      <c r="Q177" s="7">
        <f t="shared" si="13"/>
        <v>2.0099999999999998</v>
      </c>
      <c r="R177" s="7" t="str">
        <f t="shared" si="14"/>
        <v>45º09′07″ N</v>
      </c>
      <c r="S177" s="5" t="str">
        <f t="shared" si="15"/>
        <v>002º00′36″ E</v>
      </c>
      <c r="T177" s="5" t="str">
        <f t="shared" si="16"/>
        <v>45º09.12′N</v>
      </c>
      <c r="U177" s="5" t="str">
        <f t="shared" si="17"/>
        <v>002º00.60′E</v>
      </c>
    </row>
    <row r="178" spans="1:21" x14ac:dyDescent="0.2">
      <c r="A178" s="5">
        <v>194</v>
      </c>
      <c r="B178" s="11" t="s">
        <v>839</v>
      </c>
      <c r="C178" s="9" t="s">
        <v>456</v>
      </c>
      <c r="D178" s="9" t="s">
        <v>766</v>
      </c>
      <c r="E178" s="9" t="s">
        <v>796</v>
      </c>
      <c r="F178" s="5">
        <v>46</v>
      </c>
      <c r="G178" s="5">
        <v>41</v>
      </c>
      <c r="H178" s="5">
        <v>13</v>
      </c>
      <c r="I178" s="5" t="s">
        <v>132</v>
      </c>
      <c r="J178" s="5">
        <v>0</v>
      </c>
      <c r="K178" s="5">
        <v>53</v>
      </c>
      <c r="L178" s="5">
        <v>14</v>
      </c>
      <c r="M178" s="5" t="s">
        <v>133</v>
      </c>
      <c r="N178" s="45" t="s">
        <v>163</v>
      </c>
      <c r="O178" t="s">
        <v>107</v>
      </c>
      <c r="P178" s="7">
        <f t="shared" si="12"/>
        <v>46.686944444444443</v>
      </c>
      <c r="Q178" s="7">
        <f t="shared" si="13"/>
        <v>0.88722222222222225</v>
      </c>
      <c r="R178" s="7" t="str">
        <f t="shared" si="14"/>
        <v>46º41′13″ N</v>
      </c>
      <c r="S178" s="5" t="str">
        <f t="shared" si="15"/>
        <v>000º53′14″ E</v>
      </c>
      <c r="T178" s="5" t="str">
        <f t="shared" si="16"/>
        <v>46º41.22′N</v>
      </c>
      <c r="U178" s="5" t="str">
        <f t="shared" si="17"/>
        <v>000º53.23′E</v>
      </c>
    </row>
    <row r="179" spans="1:21" x14ac:dyDescent="0.2">
      <c r="A179" s="5">
        <v>237</v>
      </c>
      <c r="B179" s="11" t="s">
        <v>839</v>
      </c>
      <c r="C179" s="9" t="s">
        <v>456</v>
      </c>
      <c r="D179" s="9" t="s">
        <v>902</v>
      </c>
      <c r="E179" s="9" t="s">
        <v>903</v>
      </c>
      <c r="F179" s="5">
        <v>47</v>
      </c>
      <c r="G179" s="5">
        <v>27</v>
      </c>
      <c r="H179" s="5">
        <v>0</v>
      </c>
      <c r="I179" s="5" t="s">
        <v>132</v>
      </c>
      <c r="J179" s="5">
        <v>0</v>
      </c>
      <c r="K179" s="5">
        <v>36</v>
      </c>
      <c r="L179" s="5">
        <v>0</v>
      </c>
      <c r="M179" s="5" t="s">
        <v>133</v>
      </c>
      <c r="N179" s="37" t="s">
        <v>1258</v>
      </c>
      <c r="O179" t="s">
        <v>107</v>
      </c>
      <c r="P179" s="7">
        <f t="shared" si="12"/>
        <v>47.45</v>
      </c>
      <c r="Q179" s="7">
        <f t="shared" si="13"/>
        <v>0.6</v>
      </c>
      <c r="R179" s="7" t="str">
        <f t="shared" si="14"/>
        <v>47º27′00″ N</v>
      </c>
      <c r="S179" s="5" t="str">
        <f t="shared" si="15"/>
        <v>000º36′00″ E</v>
      </c>
      <c r="T179" s="5" t="str">
        <f t="shared" si="16"/>
        <v>47º27.00′N</v>
      </c>
      <c r="U179" s="5" t="str">
        <f t="shared" si="17"/>
        <v>000º36.00′E</v>
      </c>
    </row>
    <row r="180" spans="1:21" x14ac:dyDescent="0.2">
      <c r="A180" s="5">
        <v>189</v>
      </c>
      <c r="B180" s="11" t="s">
        <v>839</v>
      </c>
      <c r="C180" s="9" t="s">
        <v>456</v>
      </c>
      <c r="D180" s="9" t="s">
        <v>778</v>
      </c>
      <c r="E180" s="9" t="s">
        <v>779</v>
      </c>
      <c r="F180" s="5" t="s">
        <v>107</v>
      </c>
      <c r="G180" s="5" t="s">
        <v>107</v>
      </c>
      <c r="H180" s="5" t="s">
        <v>107</v>
      </c>
      <c r="I180" s="5" t="s">
        <v>107</v>
      </c>
      <c r="J180" s="5" t="s">
        <v>107</v>
      </c>
      <c r="K180" s="5" t="s">
        <v>107</v>
      </c>
      <c r="L180" s="5" t="s">
        <v>107</v>
      </c>
      <c r="M180" s="5" t="s">
        <v>107</v>
      </c>
      <c r="N180" s="45" t="s">
        <v>107</v>
      </c>
      <c r="O180" t="s">
        <v>107</v>
      </c>
      <c r="P180" s="7" t="str">
        <f t="shared" si="12"/>
        <v>-</v>
      </c>
      <c r="Q180" s="7" t="str">
        <f t="shared" si="13"/>
        <v>-</v>
      </c>
      <c r="R180" s="7" t="str">
        <f t="shared" si="14"/>
        <v>-</v>
      </c>
      <c r="S180" s="5" t="str">
        <f t="shared" si="15"/>
        <v>-</v>
      </c>
      <c r="T180" s="5" t="str">
        <f t="shared" si="16"/>
        <v>-</v>
      </c>
      <c r="U180" s="5" t="str">
        <f t="shared" si="17"/>
        <v>-</v>
      </c>
    </row>
    <row r="181" spans="1:21" x14ac:dyDescent="0.2">
      <c r="A181" s="5">
        <v>238</v>
      </c>
      <c r="B181" s="11" t="s">
        <v>839</v>
      </c>
      <c r="C181" s="9" t="s">
        <v>904</v>
      </c>
      <c r="D181" s="9" t="s">
        <v>107</v>
      </c>
      <c r="E181" s="9" t="s">
        <v>107</v>
      </c>
      <c r="F181" s="5" t="s">
        <v>107</v>
      </c>
      <c r="G181" s="5" t="s">
        <v>107</v>
      </c>
      <c r="H181" s="5" t="s">
        <v>107</v>
      </c>
      <c r="I181" s="5" t="s">
        <v>107</v>
      </c>
      <c r="J181" s="5" t="s">
        <v>107</v>
      </c>
      <c r="K181" s="5" t="s">
        <v>107</v>
      </c>
      <c r="L181" s="5" t="s">
        <v>107</v>
      </c>
      <c r="M181" s="5" t="s">
        <v>107</v>
      </c>
      <c r="N181" s="43" t="s">
        <v>107</v>
      </c>
      <c r="O181" t="s">
        <v>107</v>
      </c>
      <c r="P181" s="7" t="str">
        <f t="shared" si="12"/>
        <v>-</v>
      </c>
      <c r="Q181" s="7" t="str">
        <f t="shared" si="13"/>
        <v>-</v>
      </c>
      <c r="R181" s="7" t="str">
        <f t="shared" si="14"/>
        <v>-</v>
      </c>
      <c r="S181" s="5" t="str">
        <f t="shared" si="15"/>
        <v>-</v>
      </c>
      <c r="T181" s="5" t="str">
        <f t="shared" si="16"/>
        <v>-</v>
      </c>
      <c r="U181" s="5" t="str">
        <f t="shared" si="17"/>
        <v>-</v>
      </c>
    </row>
    <row r="182" spans="1:21" x14ac:dyDescent="0.2">
      <c r="A182" s="5">
        <v>239</v>
      </c>
      <c r="B182" s="11" t="s">
        <v>839</v>
      </c>
      <c r="C182" s="9" t="s">
        <v>982</v>
      </c>
      <c r="D182" s="9" t="s">
        <v>107</v>
      </c>
      <c r="E182" s="9" t="s">
        <v>107</v>
      </c>
      <c r="F182" s="5" t="s">
        <v>107</v>
      </c>
      <c r="G182" s="5" t="s">
        <v>107</v>
      </c>
      <c r="H182" s="5" t="s">
        <v>107</v>
      </c>
      <c r="I182" s="5" t="s">
        <v>107</v>
      </c>
      <c r="J182" s="5" t="s">
        <v>107</v>
      </c>
      <c r="K182" s="5" t="s">
        <v>107</v>
      </c>
      <c r="L182" s="5" t="s">
        <v>107</v>
      </c>
      <c r="M182" s="5" t="s">
        <v>107</v>
      </c>
      <c r="N182" s="43" t="s">
        <v>107</v>
      </c>
      <c r="O182" t="s">
        <v>107</v>
      </c>
      <c r="P182" s="7" t="str">
        <f t="shared" si="12"/>
        <v>-</v>
      </c>
      <c r="Q182" s="7" t="str">
        <f t="shared" si="13"/>
        <v>-</v>
      </c>
      <c r="R182" s="7" t="str">
        <f t="shared" si="14"/>
        <v>-</v>
      </c>
      <c r="S182" s="5" t="str">
        <f t="shared" si="15"/>
        <v>-</v>
      </c>
      <c r="T182" s="5" t="str">
        <f t="shared" si="16"/>
        <v>-</v>
      </c>
      <c r="U182" s="5" t="str">
        <f t="shared" si="17"/>
        <v>-</v>
      </c>
    </row>
    <row r="183" spans="1:21" x14ac:dyDescent="0.2">
      <c r="A183" s="5">
        <v>241</v>
      </c>
      <c r="B183" s="11" t="s">
        <v>839</v>
      </c>
      <c r="C183" s="9" t="s">
        <v>962</v>
      </c>
      <c r="D183" s="9" t="s">
        <v>107</v>
      </c>
      <c r="E183" s="9" t="s">
        <v>107</v>
      </c>
      <c r="F183" s="5" t="s">
        <v>107</v>
      </c>
      <c r="G183" s="5" t="s">
        <v>107</v>
      </c>
      <c r="H183" s="5" t="s">
        <v>107</v>
      </c>
      <c r="I183" s="5" t="s">
        <v>107</v>
      </c>
      <c r="J183" s="5" t="s">
        <v>107</v>
      </c>
      <c r="K183" s="5" t="s">
        <v>107</v>
      </c>
      <c r="L183" s="5" t="s">
        <v>107</v>
      </c>
      <c r="M183" s="5" t="s">
        <v>107</v>
      </c>
      <c r="N183" s="43" t="s">
        <v>107</v>
      </c>
      <c r="O183" t="s">
        <v>107</v>
      </c>
      <c r="P183" s="7" t="str">
        <f t="shared" si="12"/>
        <v>-</v>
      </c>
      <c r="Q183" s="7" t="str">
        <f t="shared" si="13"/>
        <v>-</v>
      </c>
      <c r="R183" s="7" t="str">
        <f t="shared" si="14"/>
        <v>-</v>
      </c>
      <c r="S183" s="5" t="str">
        <f t="shared" si="15"/>
        <v>-</v>
      </c>
      <c r="T183" s="5" t="str">
        <f t="shared" si="16"/>
        <v>-</v>
      </c>
      <c r="U183" s="5" t="str">
        <f t="shared" si="17"/>
        <v>-</v>
      </c>
    </row>
    <row r="184" spans="1:21" x14ac:dyDescent="0.2">
      <c r="A184" s="5">
        <v>154</v>
      </c>
      <c r="B184" s="11" t="s">
        <v>839</v>
      </c>
      <c r="C184" s="9" t="s">
        <v>164</v>
      </c>
      <c r="D184" s="9" t="s">
        <v>107</v>
      </c>
      <c r="E184" s="9" t="s">
        <v>107</v>
      </c>
      <c r="F184" s="5" t="s">
        <v>107</v>
      </c>
      <c r="G184" s="5" t="s">
        <v>107</v>
      </c>
      <c r="H184" s="5" t="s">
        <v>107</v>
      </c>
      <c r="I184" s="5" t="s">
        <v>107</v>
      </c>
      <c r="J184" s="5" t="s">
        <v>107</v>
      </c>
      <c r="K184" s="5" t="s">
        <v>107</v>
      </c>
      <c r="L184" s="5" t="s">
        <v>107</v>
      </c>
      <c r="M184" s="5" t="s">
        <v>107</v>
      </c>
      <c r="N184" s="45" t="s">
        <v>107</v>
      </c>
      <c r="O184" t="s">
        <v>107</v>
      </c>
      <c r="P184" s="7" t="str">
        <f t="shared" si="12"/>
        <v>-</v>
      </c>
      <c r="Q184" s="7" t="str">
        <f t="shared" si="13"/>
        <v>-</v>
      </c>
      <c r="R184" s="7" t="str">
        <f t="shared" si="14"/>
        <v>-</v>
      </c>
      <c r="S184" s="5" t="str">
        <f t="shared" si="15"/>
        <v>-</v>
      </c>
      <c r="T184" s="5" t="str">
        <f t="shared" si="16"/>
        <v>-</v>
      </c>
      <c r="U184" s="5" t="str">
        <f t="shared" si="17"/>
        <v>-</v>
      </c>
    </row>
    <row r="185" spans="1:21" x14ac:dyDescent="0.2">
      <c r="A185" s="5">
        <v>113</v>
      </c>
      <c r="B185" s="11" t="s">
        <v>839</v>
      </c>
      <c r="C185" s="9" t="s">
        <v>164</v>
      </c>
      <c r="D185" s="9" t="s">
        <v>567</v>
      </c>
      <c r="E185" s="9" t="s">
        <v>568</v>
      </c>
      <c r="F185" s="5">
        <v>39</v>
      </c>
      <c r="G185" s="5">
        <v>53</v>
      </c>
      <c r="H185" s="5">
        <v>12</v>
      </c>
      <c r="I185" s="5" t="s">
        <v>132</v>
      </c>
      <c r="J185" s="5">
        <v>139</v>
      </c>
      <c r="K185" s="5">
        <v>50</v>
      </c>
      <c r="L185" s="5">
        <v>51</v>
      </c>
      <c r="M185" s="5" t="s">
        <v>133</v>
      </c>
      <c r="N185" s="43" t="s">
        <v>163</v>
      </c>
      <c r="O185" t="s">
        <v>107</v>
      </c>
      <c r="P185" s="7">
        <f t="shared" si="12"/>
        <v>39.886666666666663</v>
      </c>
      <c r="Q185" s="7">
        <f t="shared" si="13"/>
        <v>139.8475</v>
      </c>
      <c r="R185" s="7" t="str">
        <f t="shared" si="14"/>
        <v>39º53′12″ N</v>
      </c>
      <c r="S185" s="5" t="str">
        <f t="shared" si="15"/>
        <v>139º50′51″ E</v>
      </c>
      <c r="T185" s="5" t="str">
        <f t="shared" si="16"/>
        <v>39º53.20′N</v>
      </c>
      <c r="U185" s="5" t="str">
        <f t="shared" si="17"/>
        <v>139º50.85′E</v>
      </c>
    </row>
    <row r="186" spans="1:21" x14ac:dyDescent="0.2">
      <c r="A186" s="5">
        <v>96</v>
      </c>
      <c r="B186" s="11" t="s">
        <v>839</v>
      </c>
      <c r="C186" s="9" t="s">
        <v>164</v>
      </c>
      <c r="D186" s="9" t="s">
        <v>518</v>
      </c>
      <c r="E186" s="9" t="s">
        <v>519</v>
      </c>
      <c r="F186" s="5">
        <v>36</v>
      </c>
      <c r="G186" s="5">
        <v>3</v>
      </c>
      <c r="H186" s="5">
        <v>56</v>
      </c>
      <c r="I186" s="5" t="s">
        <v>132</v>
      </c>
      <c r="J186" s="5">
        <v>139</v>
      </c>
      <c r="K186" s="5">
        <v>31</v>
      </c>
      <c r="L186" s="5">
        <v>19</v>
      </c>
      <c r="M186" s="5" t="s">
        <v>133</v>
      </c>
      <c r="N186" s="45" t="s">
        <v>163</v>
      </c>
      <c r="O186" t="s">
        <v>107</v>
      </c>
      <c r="P186" s="7">
        <f t="shared" si="12"/>
        <v>36.065555555555555</v>
      </c>
      <c r="Q186" s="7">
        <f t="shared" si="13"/>
        <v>139.52194444444447</v>
      </c>
      <c r="R186" s="7" t="str">
        <f t="shared" si="14"/>
        <v>36º03′56″ N</v>
      </c>
      <c r="S186" s="5" t="str">
        <f t="shared" si="15"/>
        <v>139º31′19″ E</v>
      </c>
      <c r="T186" s="5" t="str">
        <f t="shared" si="16"/>
        <v>36º03.93′N</v>
      </c>
      <c r="U186" s="5" t="str">
        <f t="shared" si="17"/>
        <v>139º31.32′E</v>
      </c>
    </row>
    <row r="187" spans="1:21" x14ac:dyDescent="0.2">
      <c r="A187" s="5">
        <v>4</v>
      </c>
      <c r="B187" s="11" t="s">
        <v>839</v>
      </c>
      <c r="C187" s="9" t="s">
        <v>164</v>
      </c>
      <c r="D187" s="9" t="s">
        <v>165</v>
      </c>
      <c r="E187" s="9" t="s">
        <v>166</v>
      </c>
      <c r="F187" s="5">
        <v>35</v>
      </c>
      <c r="G187" s="5">
        <v>48</v>
      </c>
      <c r="H187" s="5">
        <v>0</v>
      </c>
      <c r="I187" s="5" t="s">
        <v>132</v>
      </c>
      <c r="J187" s="5">
        <v>139</v>
      </c>
      <c r="K187" s="5">
        <v>6</v>
      </c>
      <c r="L187" s="5">
        <v>0</v>
      </c>
      <c r="M187" s="5" t="s">
        <v>133</v>
      </c>
      <c r="N187" s="45" t="s">
        <v>163</v>
      </c>
      <c r="O187" t="s">
        <v>107</v>
      </c>
      <c r="P187" s="7">
        <f t="shared" si="12"/>
        <v>35.799999999999997</v>
      </c>
      <c r="Q187" s="7">
        <f t="shared" si="13"/>
        <v>139.1</v>
      </c>
      <c r="R187" s="7" t="str">
        <f t="shared" si="14"/>
        <v>35º48′00″ N</v>
      </c>
      <c r="S187" s="5" t="str">
        <f t="shared" si="15"/>
        <v>139º06′00″ E</v>
      </c>
      <c r="T187" s="5" t="str">
        <f t="shared" si="16"/>
        <v>35º48.00′N</v>
      </c>
      <c r="U187" s="5" t="str">
        <f t="shared" si="17"/>
        <v>139º06.00′E</v>
      </c>
    </row>
    <row r="188" spans="1:21" x14ac:dyDescent="0.2">
      <c r="A188" s="5">
        <v>87</v>
      </c>
      <c r="B188" s="11" t="s">
        <v>839</v>
      </c>
      <c r="C188" s="9" t="s">
        <v>164</v>
      </c>
      <c r="D188" s="9" t="s">
        <v>495</v>
      </c>
      <c r="E188" s="9" t="s">
        <v>496</v>
      </c>
      <c r="F188" s="5">
        <v>38</v>
      </c>
      <c r="G188" s="5">
        <v>42</v>
      </c>
      <c r="H188" s="5">
        <v>8</v>
      </c>
      <c r="I188" s="5" t="s">
        <v>132</v>
      </c>
      <c r="J188" s="5">
        <v>139</v>
      </c>
      <c r="K188" s="5">
        <v>40</v>
      </c>
      <c r="L188" s="5">
        <v>9</v>
      </c>
      <c r="M188" s="5" t="s">
        <v>133</v>
      </c>
      <c r="N188" s="45" t="s">
        <v>163</v>
      </c>
      <c r="O188" t="s">
        <v>107</v>
      </c>
      <c r="P188" s="7">
        <f t="shared" si="12"/>
        <v>38.702222222222225</v>
      </c>
      <c r="Q188" s="7">
        <f t="shared" si="13"/>
        <v>139.66916666666665</v>
      </c>
      <c r="R188" s="7" t="str">
        <f t="shared" si="14"/>
        <v>38º42′08″ N</v>
      </c>
      <c r="S188" s="5" t="str">
        <f t="shared" si="15"/>
        <v>139º40′09″ E</v>
      </c>
      <c r="T188" s="5" t="str">
        <f t="shared" si="16"/>
        <v>38º42.13′N</v>
      </c>
      <c r="U188" s="5" t="str">
        <f t="shared" si="17"/>
        <v>139º40.15′E</v>
      </c>
    </row>
    <row r="189" spans="1:21" x14ac:dyDescent="0.2">
      <c r="A189" s="5">
        <v>244</v>
      </c>
      <c r="B189" s="11" t="s">
        <v>839</v>
      </c>
      <c r="C189" s="9" t="s">
        <v>979</v>
      </c>
      <c r="D189" s="9" t="s">
        <v>107</v>
      </c>
      <c r="E189" s="9" t="s">
        <v>107</v>
      </c>
      <c r="F189" s="5" t="s">
        <v>107</v>
      </c>
      <c r="G189" s="5" t="s">
        <v>107</v>
      </c>
      <c r="H189" s="5" t="s">
        <v>107</v>
      </c>
      <c r="I189" s="5" t="s">
        <v>107</v>
      </c>
      <c r="J189" s="5" t="s">
        <v>107</v>
      </c>
      <c r="K189" s="5" t="s">
        <v>107</v>
      </c>
      <c r="L189" s="5" t="s">
        <v>107</v>
      </c>
      <c r="M189" s="5" t="s">
        <v>107</v>
      </c>
      <c r="N189" s="43" t="s">
        <v>107</v>
      </c>
      <c r="O189" t="s">
        <v>107</v>
      </c>
      <c r="P189" s="7" t="str">
        <f t="shared" si="12"/>
        <v>-</v>
      </c>
      <c r="Q189" s="7" t="str">
        <f t="shared" si="13"/>
        <v>-</v>
      </c>
      <c r="R189" s="7" t="str">
        <f t="shared" si="14"/>
        <v>-</v>
      </c>
      <c r="S189" s="5" t="str">
        <f t="shared" si="15"/>
        <v>-</v>
      </c>
      <c r="T189" s="5" t="str">
        <f t="shared" si="16"/>
        <v>-</v>
      </c>
      <c r="U189" s="5" t="str">
        <f t="shared" si="17"/>
        <v>-</v>
      </c>
    </row>
    <row r="190" spans="1:21" x14ac:dyDescent="0.2">
      <c r="A190" s="5">
        <v>62</v>
      </c>
      <c r="B190" s="11" t="s">
        <v>839</v>
      </c>
      <c r="C190" s="9" t="s">
        <v>414</v>
      </c>
      <c r="D190" s="9" t="s">
        <v>107</v>
      </c>
      <c r="E190" s="9" t="s">
        <v>107</v>
      </c>
      <c r="F190" s="5" t="s">
        <v>107</v>
      </c>
      <c r="G190" s="5" t="s">
        <v>107</v>
      </c>
      <c r="H190" s="5" t="s">
        <v>107</v>
      </c>
      <c r="I190" s="5" t="s">
        <v>107</v>
      </c>
      <c r="J190" s="5" t="s">
        <v>107</v>
      </c>
      <c r="K190" s="5" t="s">
        <v>107</v>
      </c>
      <c r="L190" s="5" t="s">
        <v>107</v>
      </c>
      <c r="M190" s="5" t="s">
        <v>107</v>
      </c>
      <c r="N190" s="45" t="s">
        <v>107</v>
      </c>
      <c r="O190" t="s">
        <v>107</v>
      </c>
      <c r="P190" s="7" t="str">
        <f t="shared" si="12"/>
        <v>-</v>
      </c>
      <c r="Q190" s="7" t="str">
        <f t="shared" si="13"/>
        <v>-</v>
      </c>
      <c r="R190" s="7" t="str">
        <f t="shared" si="14"/>
        <v>-</v>
      </c>
      <c r="S190" s="5" t="str">
        <f t="shared" si="15"/>
        <v>-</v>
      </c>
      <c r="T190" s="5" t="str">
        <f t="shared" si="16"/>
        <v>-</v>
      </c>
      <c r="U190" s="5" t="str">
        <f t="shared" si="17"/>
        <v>-</v>
      </c>
    </row>
    <row r="191" spans="1:21" x14ac:dyDescent="0.2">
      <c r="A191" s="5">
        <v>68</v>
      </c>
      <c r="B191" s="11" t="s">
        <v>839</v>
      </c>
      <c r="C191" s="9" t="s">
        <v>414</v>
      </c>
      <c r="D191" s="9" t="s">
        <v>437</v>
      </c>
      <c r="E191" s="9" t="s">
        <v>438</v>
      </c>
      <c r="F191" s="5">
        <v>53</v>
      </c>
      <c r="G191" s="5">
        <v>16</v>
      </c>
      <c r="H191" s="5">
        <v>45</v>
      </c>
      <c r="I191" s="5" t="s">
        <v>132</v>
      </c>
      <c r="J191" s="5">
        <v>6</v>
      </c>
      <c r="K191" s="5">
        <v>9</v>
      </c>
      <c r="L191" s="5">
        <v>3</v>
      </c>
      <c r="M191" s="5" t="s">
        <v>133</v>
      </c>
      <c r="N191" s="45" t="s">
        <v>163</v>
      </c>
      <c r="O191" t="s">
        <v>107</v>
      </c>
      <c r="P191" s="7">
        <f t="shared" si="12"/>
        <v>53.279166666666669</v>
      </c>
      <c r="Q191" s="7">
        <f t="shared" si="13"/>
        <v>6.1508333333333338</v>
      </c>
      <c r="R191" s="7" t="str">
        <f t="shared" si="14"/>
        <v>53º16′45″ N</v>
      </c>
      <c r="S191" s="5" t="str">
        <f t="shared" si="15"/>
        <v>006º09′03″ E</v>
      </c>
      <c r="T191" s="5" t="str">
        <f t="shared" si="16"/>
        <v>53º16.75′N</v>
      </c>
      <c r="U191" s="5" t="str">
        <f t="shared" si="17"/>
        <v>006º09.05′E</v>
      </c>
    </row>
    <row r="192" spans="1:21" x14ac:dyDescent="0.2">
      <c r="A192" s="5">
        <v>67</v>
      </c>
      <c r="B192" s="11" t="s">
        <v>839</v>
      </c>
      <c r="C192" s="9" t="s">
        <v>414</v>
      </c>
      <c r="D192" s="9" t="s">
        <v>435</v>
      </c>
      <c r="E192" s="9" t="s">
        <v>436</v>
      </c>
      <c r="F192" s="5">
        <v>51</v>
      </c>
      <c r="G192" s="5">
        <v>14</v>
      </c>
      <c r="H192" s="5">
        <v>0</v>
      </c>
      <c r="I192" s="5" t="s">
        <v>132</v>
      </c>
      <c r="J192" s="5">
        <v>5</v>
      </c>
      <c r="K192" s="5">
        <v>57</v>
      </c>
      <c r="L192" s="5">
        <v>0</v>
      </c>
      <c r="M192" s="5" t="s">
        <v>133</v>
      </c>
      <c r="N192" s="37" t="s">
        <v>1220</v>
      </c>
      <c r="O192" t="s">
        <v>107</v>
      </c>
      <c r="P192" s="7">
        <f t="shared" si="12"/>
        <v>51.233333333333334</v>
      </c>
      <c r="Q192" s="7">
        <f t="shared" si="13"/>
        <v>5.95</v>
      </c>
      <c r="R192" s="7" t="str">
        <f t="shared" si="14"/>
        <v>51º14′00″ N</v>
      </c>
      <c r="S192" s="5" t="str">
        <f t="shared" si="15"/>
        <v>005º57′00″ E</v>
      </c>
      <c r="T192" s="5" t="str">
        <f t="shared" si="16"/>
        <v>51º14.00′N</v>
      </c>
      <c r="U192" s="5" t="str">
        <f t="shared" si="17"/>
        <v>005º57.00′E</v>
      </c>
    </row>
    <row r="193" spans="1:21" x14ac:dyDescent="0.2">
      <c r="A193" s="5">
        <v>65</v>
      </c>
      <c r="B193" s="11" t="s">
        <v>839</v>
      </c>
      <c r="C193" s="9" t="s">
        <v>425</v>
      </c>
      <c r="D193" s="9" t="s">
        <v>107</v>
      </c>
      <c r="E193" s="9" t="s">
        <v>107</v>
      </c>
      <c r="F193" s="5" t="s">
        <v>107</v>
      </c>
      <c r="G193" s="5" t="s">
        <v>107</v>
      </c>
      <c r="H193" s="5" t="s">
        <v>107</v>
      </c>
      <c r="I193" s="5" t="s">
        <v>107</v>
      </c>
      <c r="J193" s="5" t="s">
        <v>107</v>
      </c>
      <c r="K193" s="5" t="s">
        <v>107</v>
      </c>
      <c r="L193" s="5" t="s">
        <v>107</v>
      </c>
      <c r="M193" s="5" t="s">
        <v>107</v>
      </c>
      <c r="N193" s="45" t="s">
        <v>107</v>
      </c>
      <c r="O193" t="s">
        <v>107</v>
      </c>
      <c r="P193" s="7" t="str">
        <f t="shared" si="12"/>
        <v>-</v>
      </c>
      <c r="Q193" s="7" t="str">
        <f t="shared" si="13"/>
        <v>-</v>
      </c>
      <c r="R193" s="7" t="str">
        <f t="shared" si="14"/>
        <v>-</v>
      </c>
      <c r="S193" s="5" t="str">
        <f t="shared" si="15"/>
        <v>-</v>
      </c>
      <c r="T193" s="5" t="str">
        <f t="shared" si="16"/>
        <v>-</v>
      </c>
      <c r="U193" s="5" t="str">
        <f t="shared" si="17"/>
        <v>-</v>
      </c>
    </row>
    <row r="194" spans="1:21" x14ac:dyDescent="0.2">
      <c r="A194" s="5">
        <v>176</v>
      </c>
      <c r="B194" s="11" t="s">
        <v>839</v>
      </c>
      <c r="C194" s="8" t="s">
        <v>425</v>
      </c>
      <c r="D194" t="s">
        <v>107</v>
      </c>
      <c r="E194" t="s">
        <v>732</v>
      </c>
      <c r="F194" s="5" t="s">
        <v>107</v>
      </c>
      <c r="G194" s="5" t="s">
        <v>107</v>
      </c>
      <c r="H194" s="5" t="s">
        <v>107</v>
      </c>
      <c r="I194" s="5" t="s">
        <v>107</v>
      </c>
      <c r="J194" s="5" t="s">
        <v>107</v>
      </c>
      <c r="K194" s="5" t="s">
        <v>107</v>
      </c>
      <c r="L194" s="5" t="s">
        <v>107</v>
      </c>
      <c r="M194" s="5" t="s">
        <v>107</v>
      </c>
      <c r="N194" s="43" t="s">
        <v>107</v>
      </c>
      <c r="O194" t="s">
        <v>107</v>
      </c>
      <c r="P194" s="7" t="str">
        <f t="shared" si="12"/>
        <v>-</v>
      </c>
      <c r="Q194" s="7" t="str">
        <f t="shared" si="13"/>
        <v>-</v>
      </c>
      <c r="R194" s="7" t="str">
        <f t="shared" si="14"/>
        <v>-</v>
      </c>
      <c r="S194" s="5" t="str">
        <f t="shared" si="15"/>
        <v>-</v>
      </c>
      <c r="T194" s="5" t="str">
        <f t="shared" si="16"/>
        <v>-</v>
      </c>
      <c r="U194" s="5" t="str">
        <f t="shared" si="17"/>
        <v>-</v>
      </c>
    </row>
    <row r="195" spans="1:21" x14ac:dyDescent="0.2">
      <c r="A195" s="5">
        <v>178</v>
      </c>
      <c r="B195" s="11" t="s">
        <v>839</v>
      </c>
      <c r="C195" s="8" t="s">
        <v>425</v>
      </c>
      <c r="D195" t="s">
        <v>107</v>
      </c>
      <c r="E195" t="s">
        <v>735</v>
      </c>
      <c r="F195" s="5" t="s">
        <v>107</v>
      </c>
      <c r="G195" s="5" t="s">
        <v>107</v>
      </c>
      <c r="H195" s="5" t="s">
        <v>107</v>
      </c>
      <c r="I195" s="5" t="s">
        <v>107</v>
      </c>
      <c r="J195" s="5" t="s">
        <v>107</v>
      </c>
      <c r="K195" s="5" t="s">
        <v>107</v>
      </c>
      <c r="L195" s="5" t="s">
        <v>107</v>
      </c>
      <c r="M195" s="5" t="s">
        <v>107</v>
      </c>
      <c r="N195" s="43" t="s">
        <v>107</v>
      </c>
      <c r="O195" t="s">
        <v>107</v>
      </c>
      <c r="P195" s="7" t="str">
        <f t="shared" ref="P195:P258" si="18">IF(F195="-","-",IF(I195="N",((F195)+(G195/60)+(H195/3600)),((F195)+(G195/60)+(H195/3600))*(-1)))</f>
        <v>-</v>
      </c>
      <c r="Q195" s="7" t="str">
        <f t="shared" ref="Q195:Q258" si="19">IF(F195="-","-",IF(M195="E",((J195)+(K195/60)+(L195/3600)),((J195)+(K195/60)+(L195/3600))*(-1)))</f>
        <v>-</v>
      </c>
      <c r="R195" s="7" t="str">
        <f t="shared" si="14"/>
        <v>-</v>
      </c>
      <c r="S195" s="5" t="str">
        <f t="shared" si="15"/>
        <v>-</v>
      </c>
      <c r="T195" s="5" t="str">
        <f t="shared" si="16"/>
        <v>-</v>
      </c>
      <c r="U195" s="5" t="str">
        <f t="shared" si="17"/>
        <v>-</v>
      </c>
    </row>
    <row r="196" spans="1:21" x14ac:dyDescent="0.2">
      <c r="A196" s="5">
        <v>168</v>
      </c>
      <c r="B196" s="11" t="s">
        <v>839</v>
      </c>
      <c r="C196" s="8" t="s">
        <v>425</v>
      </c>
      <c r="D196" t="s">
        <v>107</v>
      </c>
      <c r="E196" t="s">
        <v>727</v>
      </c>
      <c r="F196" s="5" t="s">
        <v>107</v>
      </c>
      <c r="G196" s="5" t="s">
        <v>107</v>
      </c>
      <c r="H196" s="5" t="s">
        <v>107</v>
      </c>
      <c r="I196" s="5" t="s">
        <v>107</v>
      </c>
      <c r="J196" s="5" t="s">
        <v>107</v>
      </c>
      <c r="K196" s="5" t="s">
        <v>107</v>
      </c>
      <c r="L196" s="5" t="s">
        <v>107</v>
      </c>
      <c r="M196" s="5" t="s">
        <v>107</v>
      </c>
      <c r="N196" s="43" t="s">
        <v>107</v>
      </c>
      <c r="O196" t="s">
        <v>107</v>
      </c>
      <c r="P196" s="7" t="str">
        <f t="shared" si="18"/>
        <v>-</v>
      </c>
      <c r="Q196" s="7" t="str">
        <f t="shared" si="19"/>
        <v>-</v>
      </c>
      <c r="R196" s="7" t="str">
        <f t="shared" ref="R196:R214" si="20">IF(P196="-","-",TEXT(F196,"00")&amp;"º"&amp;TEXT(G196,"00")&amp;"′"&amp;TEXT(H196,"00")&amp;"″ "&amp;I196)</f>
        <v>-</v>
      </c>
      <c r="S196" s="5" t="str">
        <f t="shared" ref="S196:S214" si="21">IF(P196="-","-",TEXT(J196,"000")&amp;"º"&amp;TEXT(K196,"00")&amp;"′"&amp;TEXT(L196,"00")&amp;"″ "&amp;M196)</f>
        <v>-</v>
      </c>
      <c r="T196" s="5" t="str">
        <f t="shared" ref="T196:T214" si="22">IF(P196="-","-",TEXT(F196,"00")&amp;"º"&amp;TEXT(G196,"00")&amp;"."&amp;TEXT(H196*100/60,"00")&amp;"′"&amp;I196)</f>
        <v>-</v>
      </c>
      <c r="U196" s="5" t="str">
        <f t="shared" ref="U196:U214" si="23">IF(P196="-","-",TEXT(J196,"000")&amp;"º"&amp;TEXT(K196,"00")&amp;"."&amp;TEXT(L196*100/60,"00")&amp;"′"&amp;M196)</f>
        <v>-</v>
      </c>
    </row>
    <row r="197" spans="1:21" x14ac:dyDescent="0.2">
      <c r="A197" s="5">
        <v>173</v>
      </c>
      <c r="B197" s="11" t="s">
        <v>839</v>
      </c>
      <c r="C197" s="8" t="s">
        <v>425</v>
      </c>
      <c r="D197" t="s">
        <v>107</v>
      </c>
      <c r="E197" t="s">
        <v>731</v>
      </c>
      <c r="F197" s="5" t="s">
        <v>107</v>
      </c>
      <c r="G197" s="5" t="s">
        <v>107</v>
      </c>
      <c r="H197" s="5" t="s">
        <v>107</v>
      </c>
      <c r="I197" s="5" t="s">
        <v>107</v>
      </c>
      <c r="J197" s="5" t="s">
        <v>107</v>
      </c>
      <c r="K197" s="5" t="s">
        <v>107</v>
      </c>
      <c r="L197" s="5" t="s">
        <v>107</v>
      </c>
      <c r="M197" s="5" t="s">
        <v>107</v>
      </c>
      <c r="N197" s="43" t="s">
        <v>107</v>
      </c>
      <c r="O197" t="s">
        <v>107</v>
      </c>
      <c r="P197" s="7" t="str">
        <f t="shared" si="18"/>
        <v>-</v>
      </c>
      <c r="Q197" s="7" t="str">
        <f t="shared" si="19"/>
        <v>-</v>
      </c>
      <c r="R197" s="7" t="str">
        <f t="shared" si="20"/>
        <v>-</v>
      </c>
      <c r="S197" s="5" t="str">
        <f t="shared" si="21"/>
        <v>-</v>
      </c>
      <c r="T197" s="5" t="str">
        <f t="shared" si="22"/>
        <v>-</v>
      </c>
      <c r="U197" s="5" t="str">
        <f t="shared" si="23"/>
        <v>-</v>
      </c>
    </row>
    <row r="198" spans="1:21" x14ac:dyDescent="0.2">
      <c r="A198" s="5">
        <v>171</v>
      </c>
      <c r="B198" s="11" t="s">
        <v>839</v>
      </c>
      <c r="C198" s="8" t="s">
        <v>425</v>
      </c>
      <c r="D198" t="s">
        <v>107</v>
      </c>
      <c r="E198" t="s">
        <v>729</v>
      </c>
      <c r="F198" s="5" t="s">
        <v>107</v>
      </c>
      <c r="G198" s="5" t="s">
        <v>107</v>
      </c>
      <c r="H198" s="5" t="s">
        <v>107</v>
      </c>
      <c r="I198" s="5" t="s">
        <v>107</v>
      </c>
      <c r="J198" s="5" t="s">
        <v>107</v>
      </c>
      <c r="K198" s="5" t="s">
        <v>107</v>
      </c>
      <c r="L198" s="5" t="s">
        <v>107</v>
      </c>
      <c r="M198" s="5" t="s">
        <v>107</v>
      </c>
      <c r="N198" s="43" t="s">
        <v>107</v>
      </c>
      <c r="O198" t="s">
        <v>107</v>
      </c>
      <c r="P198" s="7" t="str">
        <f t="shared" si="18"/>
        <v>-</v>
      </c>
      <c r="Q198" s="7" t="str">
        <f t="shared" si="19"/>
        <v>-</v>
      </c>
      <c r="R198" s="7" t="str">
        <f t="shared" si="20"/>
        <v>-</v>
      </c>
      <c r="S198" s="5" t="str">
        <f t="shared" si="21"/>
        <v>-</v>
      </c>
      <c r="T198" s="5" t="str">
        <f t="shared" si="22"/>
        <v>-</v>
      </c>
      <c r="U198" s="5" t="str">
        <f t="shared" si="23"/>
        <v>-</v>
      </c>
    </row>
    <row r="199" spans="1:21" x14ac:dyDescent="0.2">
      <c r="A199" s="5">
        <v>172</v>
      </c>
      <c r="B199" s="11" t="s">
        <v>839</v>
      </c>
      <c r="C199" s="8" t="s">
        <v>425</v>
      </c>
      <c r="D199" t="s">
        <v>107</v>
      </c>
      <c r="E199" t="s">
        <v>730</v>
      </c>
      <c r="F199" s="5" t="s">
        <v>107</v>
      </c>
      <c r="G199" s="5" t="s">
        <v>107</v>
      </c>
      <c r="H199" s="5" t="s">
        <v>107</v>
      </c>
      <c r="I199" s="5" t="s">
        <v>107</v>
      </c>
      <c r="J199" s="5" t="s">
        <v>107</v>
      </c>
      <c r="K199" s="5" t="s">
        <v>107</v>
      </c>
      <c r="L199" s="5" t="s">
        <v>107</v>
      </c>
      <c r="M199" s="5" t="s">
        <v>107</v>
      </c>
      <c r="N199" s="43" t="s">
        <v>107</v>
      </c>
      <c r="O199" t="s">
        <v>107</v>
      </c>
      <c r="P199" s="7" t="str">
        <f t="shared" si="18"/>
        <v>-</v>
      </c>
      <c r="Q199" s="7" t="str">
        <f t="shared" si="19"/>
        <v>-</v>
      </c>
      <c r="R199" s="7" t="str">
        <f t="shared" si="20"/>
        <v>-</v>
      </c>
      <c r="S199" s="5" t="str">
        <f t="shared" si="21"/>
        <v>-</v>
      </c>
      <c r="T199" s="5" t="str">
        <f t="shared" si="22"/>
        <v>-</v>
      </c>
      <c r="U199" s="5" t="str">
        <f t="shared" si="23"/>
        <v>-</v>
      </c>
    </row>
    <row r="200" spans="1:21" x14ac:dyDescent="0.2">
      <c r="A200" s="5">
        <v>169</v>
      </c>
      <c r="B200" s="11" t="s">
        <v>839</v>
      </c>
      <c r="C200" s="8" t="s">
        <v>425</v>
      </c>
      <c r="D200" t="s">
        <v>107</v>
      </c>
      <c r="E200" t="s">
        <v>725</v>
      </c>
      <c r="F200" s="5" t="s">
        <v>107</v>
      </c>
      <c r="G200" s="5" t="s">
        <v>107</v>
      </c>
      <c r="H200" s="5" t="s">
        <v>107</v>
      </c>
      <c r="I200" s="5" t="s">
        <v>107</v>
      </c>
      <c r="J200" s="5" t="s">
        <v>107</v>
      </c>
      <c r="K200" s="5" t="s">
        <v>107</v>
      </c>
      <c r="L200" s="5" t="s">
        <v>107</v>
      </c>
      <c r="M200" s="5" t="s">
        <v>107</v>
      </c>
      <c r="N200" s="43" t="s">
        <v>107</v>
      </c>
      <c r="O200" t="s">
        <v>107</v>
      </c>
      <c r="P200" s="7" t="str">
        <f t="shared" si="18"/>
        <v>-</v>
      </c>
      <c r="Q200" s="7" t="str">
        <f t="shared" si="19"/>
        <v>-</v>
      </c>
      <c r="R200" s="7" t="str">
        <f t="shared" si="20"/>
        <v>-</v>
      </c>
      <c r="S200" s="5" t="str">
        <f t="shared" si="21"/>
        <v>-</v>
      </c>
      <c r="T200" s="5" t="str">
        <f t="shared" si="22"/>
        <v>-</v>
      </c>
      <c r="U200" s="5" t="str">
        <f t="shared" si="23"/>
        <v>-</v>
      </c>
    </row>
    <row r="201" spans="1:21" x14ac:dyDescent="0.2">
      <c r="A201" s="5">
        <v>174</v>
      </c>
      <c r="B201" s="11" t="s">
        <v>839</v>
      </c>
      <c r="C201" s="8" t="s">
        <v>425</v>
      </c>
      <c r="D201" t="s">
        <v>107</v>
      </c>
      <c r="E201" t="s">
        <v>726</v>
      </c>
      <c r="F201" s="5" t="s">
        <v>107</v>
      </c>
      <c r="G201" s="5" t="s">
        <v>107</v>
      </c>
      <c r="H201" s="5" t="s">
        <v>107</v>
      </c>
      <c r="I201" s="5" t="s">
        <v>107</v>
      </c>
      <c r="J201" s="5" t="s">
        <v>107</v>
      </c>
      <c r="K201" s="5" t="s">
        <v>107</v>
      </c>
      <c r="L201" s="5" t="s">
        <v>107</v>
      </c>
      <c r="M201" s="5" t="s">
        <v>107</v>
      </c>
      <c r="N201" s="43" t="s">
        <v>107</v>
      </c>
      <c r="O201" t="s">
        <v>107</v>
      </c>
      <c r="P201" s="7" t="str">
        <f t="shared" si="18"/>
        <v>-</v>
      </c>
      <c r="Q201" s="7" t="str">
        <f t="shared" si="19"/>
        <v>-</v>
      </c>
      <c r="R201" s="7" t="str">
        <f t="shared" si="20"/>
        <v>-</v>
      </c>
      <c r="S201" s="5" t="str">
        <f t="shared" si="21"/>
        <v>-</v>
      </c>
      <c r="T201" s="5" t="str">
        <f t="shared" si="22"/>
        <v>-</v>
      </c>
      <c r="U201" s="5" t="str">
        <f t="shared" si="23"/>
        <v>-</v>
      </c>
    </row>
    <row r="202" spans="1:21" x14ac:dyDescent="0.2">
      <c r="A202" s="5">
        <v>166</v>
      </c>
      <c r="B202" s="11" t="s">
        <v>839</v>
      </c>
      <c r="C202" s="8" t="s">
        <v>425</v>
      </c>
      <c r="D202" t="s">
        <v>107</v>
      </c>
      <c r="E202" t="s">
        <v>724</v>
      </c>
      <c r="F202" s="5" t="s">
        <v>107</v>
      </c>
      <c r="G202" s="5" t="s">
        <v>107</v>
      </c>
      <c r="H202" s="5" t="s">
        <v>107</v>
      </c>
      <c r="I202" s="5" t="s">
        <v>107</v>
      </c>
      <c r="J202" s="5" t="s">
        <v>107</v>
      </c>
      <c r="K202" s="5" t="s">
        <v>107</v>
      </c>
      <c r="L202" s="5" t="s">
        <v>107</v>
      </c>
      <c r="M202" s="5" t="s">
        <v>107</v>
      </c>
      <c r="N202" s="43" t="s">
        <v>107</v>
      </c>
      <c r="O202" t="s">
        <v>107</v>
      </c>
      <c r="P202" s="7" t="str">
        <f t="shared" si="18"/>
        <v>-</v>
      </c>
      <c r="Q202" s="7" t="str">
        <f t="shared" si="19"/>
        <v>-</v>
      </c>
      <c r="R202" s="7" t="str">
        <f t="shared" si="20"/>
        <v>-</v>
      </c>
      <c r="S202" s="5" t="str">
        <f t="shared" si="21"/>
        <v>-</v>
      </c>
      <c r="T202" s="5" t="str">
        <f t="shared" si="22"/>
        <v>-</v>
      </c>
      <c r="U202" s="5" t="str">
        <f t="shared" si="23"/>
        <v>-</v>
      </c>
    </row>
    <row r="203" spans="1:21" x14ac:dyDescent="0.2">
      <c r="A203" s="5">
        <v>163</v>
      </c>
      <c r="B203" s="11" t="s">
        <v>839</v>
      </c>
      <c r="C203" s="8" t="s">
        <v>425</v>
      </c>
      <c r="D203" t="s">
        <v>107</v>
      </c>
      <c r="E203" t="s">
        <v>719</v>
      </c>
      <c r="F203" s="5" t="s">
        <v>107</v>
      </c>
      <c r="G203" s="5" t="s">
        <v>107</v>
      </c>
      <c r="H203" s="5" t="s">
        <v>107</v>
      </c>
      <c r="I203" s="5" t="s">
        <v>107</v>
      </c>
      <c r="J203" s="5" t="s">
        <v>107</v>
      </c>
      <c r="K203" s="5" t="s">
        <v>107</v>
      </c>
      <c r="L203" s="5" t="s">
        <v>107</v>
      </c>
      <c r="M203" s="5" t="s">
        <v>107</v>
      </c>
      <c r="N203" s="43" t="s">
        <v>107</v>
      </c>
      <c r="O203" t="s">
        <v>107</v>
      </c>
      <c r="P203" s="7" t="str">
        <f t="shared" si="18"/>
        <v>-</v>
      </c>
      <c r="Q203" s="7" t="str">
        <f t="shared" si="19"/>
        <v>-</v>
      </c>
      <c r="R203" s="7" t="str">
        <f t="shared" si="20"/>
        <v>-</v>
      </c>
      <c r="S203" s="5" t="str">
        <f t="shared" si="21"/>
        <v>-</v>
      </c>
      <c r="T203" s="5" t="str">
        <f t="shared" si="22"/>
        <v>-</v>
      </c>
      <c r="U203" s="5" t="str">
        <f t="shared" si="23"/>
        <v>-</v>
      </c>
    </row>
    <row r="204" spans="1:21" x14ac:dyDescent="0.2">
      <c r="A204" s="5">
        <v>175</v>
      </c>
      <c r="B204" s="11" t="s">
        <v>839</v>
      </c>
      <c r="C204" s="8" t="s">
        <v>425</v>
      </c>
      <c r="D204" t="s">
        <v>107</v>
      </c>
      <c r="E204" t="s">
        <v>733</v>
      </c>
      <c r="F204" s="5" t="s">
        <v>107</v>
      </c>
      <c r="G204" s="5" t="s">
        <v>107</v>
      </c>
      <c r="H204" s="5" t="s">
        <v>107</v>
      </c>
      <c r="I204" s="5" t="s">
        <v>107</v>
      </c>
      <c r="J204" s="5" t="s">
        <v>107</v>
      </c>
      <c r="K204" s="5" t="s">
        <v>107</v>
      </c>
      <c r="L204" s="5" t="s">
        <v>107</v>
      </c>
      <c r="M204" s="5" t="s">
        <v>107</v>
      </c>
      <c r="N204" s="43" t="s">
        <v>107</v>
      </c>
      <c r="O204" t="s">
        <v>107</v>
      </c>
      <c r="P204" s="7" t="str">
        <f t="shared" si="18"/>
        <v>-</v>
      </c>
      <c r="Q204" s="7" t="str">
        <f t="shared" si="19"/>
        <v>-</v>
      </c>
      <c r="R204" s="7" t="str">
        <f t="shared" si="20"/>
        <v>-</v>
      </c>
      <c r="S204" s="5" t="str">
        <f t="shared" si="21"/>
        <v>-</v>
      </c>
      <c r="T204" s="5" t="str">
        <f t="shared" si="22"/>
        <v>-</v>
      </c>
      <c r="U204" s="5" t="str">
        <f t="shared" si="23"/>
        <v>-</v>
      </c>
    </row>
    <row r="205" spans="1:21" x14ac:dyDescent="0.2">
      <c r="A205" s="5">
        <v>177</v>
      </c>
      <c r="B205" s="11" t="s">
        <v>839</v>
      </c>
      <c r="C205" s="8" t="s">
        <v>425</v>
      </c>
      <c r="D205" t="s">
        <v>107</v>
      </c>
      <c r="E205" t="s">
        <v>734</v>
      </c>
      <c r="F205" s="5" t="s">
        <v>107</v>
      </c>
      <c r="G205" s="5" t="s">
        <v>107</v>
      </c>
      <c r="H205" s="5" t="s">
        <v>107</v>
      </c>
      <c r="I205" s="5" t="s">
        <v>107</v>
      </c>
      <c r="J205" s="5" t="s">
        <v>107</v>
      </c>
      <c r="K205" s="5" t="s">
        <v>107</v>
      </c>
      <c r="L205" s="5" t="s">
        <v>107</v>
      </c>
      <c r="M205" s="5" t="s">
        <v>107</v>
      </c>
      <c r="N205" s="43" t="s">
        <v>107</v>
      </c>
      <c r="O205" t="s">
        <v>107</v>
      </c>
      <c r="P205" s="7" t="str">
        <f t="shared" si="18"/>
        <v>-</v>
      </c>
      <c r="Q205" s="7" t="str">
        <f t="shared" si="19"/>
        <v>-</v>
      </c>
      <c r="R205" s="7" t="str">
        <f t="shared" si="20"/>
        <v>-</v>
      </c>
      <c r="S205" s="5" t="str">
        <f t="shared" si="21"/>
        <v>-</v>
      </c>
      <c r="T205" s="5" t="str">
        <f t="shared" si="22"/>
        <v>-</v>
      </c>
      <c r="U205" s="5" t="str">
        <f t="shared" si="23"/>
        <v>-</v>
      </c>
    </row>
    <row r="206" spans="1:21" x14ac:dyDescent="0.2">
      <c r="A206" s="5">
        <v>170</v>
      </c>
      <c r="B206" s="11" t="s">
        <v>839</v>
      </c>
      <c r="C206" s="8" t="s">
        <v>425</v>
      </c>
      <c r="D206" t="s">
        <v>107</v>
      </c>
      <c r="E206" t="s">
        <v>728</v>
      </c>
      <c r="F206" s="5" t="s">
        <v>107</v>
      </c>
      <c r="G206" s="5" t="s">
        <v>107</v>
      </c>
      <c r="H206" s="5" t="s">
        <v>107</v>
      </c>
      <c r="I206" s="5" t="s">
        <v>107</v>
      </c>
      <c r="J206" s="5" t="s">
        <v>107</v>
      </c>
      <c r="K206" s="5" t="s">
        <v>107</v>
      </c>
      <c r="L206" s="5" t="s">
        <v>107</v>
      </c>
      <c r="M206" s="5" t="s">
        <v>107</v>
      </c>
      <c r="N206" s="43" t="s">
        <v>107</v>
      </c>
      <c r="O206" t="s">
        <v>107</v>
      </c>
      <c r="P206" s="7" t="str">
        <f t="shared" si="18"/>
        <v>-</v>
      </c>
      <c r="Q206" s="7" t="str">
        <f t="shared" si="19"/>
        <v>-</v>
      </c>
      <c r="R206" s="7" t="str">
        <f t="shared" si="20"/>
        <v>-</v>
      </c>
      <c r="S206" s="5" t="str">
        <f t="shared" si="21"/>
        <v>-</v>
      </c>
      <c r="T206" s="5" t="str">
        <f t="shared" si="22"/>
        <v>-</v>
      </c>
      <c r="U206" s="5" t="str">
        <f t="shared" si="23"/>
        <v>-</v>
      </c>
    </row>
    <row r="207" spans="1:21" x14ac:dyDescent="0.2">
      <c r="A207" s="5">
        <v>162</v>
      </c>
      <c r="B207" s="11" t="s">
        <v>839</v>
      </c>
      <c r="C207" s="8" t="s">
        <v>425</v>
      </c>
      <c r="D207" t="s">
        <v>107</v>
      </c>
      <c r="E207" t="s">
        <v>718</v>
      </c>
      <c r="F207" s="5" t="s">
        <v>107</v>
      </c>
      <c r="G207" s="5" t="s">
        <v>107</v>
      </c>
      <c r="H207" s="5" t="s">
        <v>107</v>
      </c>
      <c r="I207" s="5" t="s">
        <v>107</v>
      </c>
      <c r="J207" s="5" t="s">
        <v>107</v>
      </c>
      <c r="K207" s="5" t="s">
        <v>107</v>
      </c>
      <c r="L207" s="5" t="s">
        <v>107</v>
      </c>
      <c r="M207" s="5" t="s">
        <v>107</v>
      </c>
      <c r="N207" s="43" t="s">
        <v>107</v>
      </c>
      <c r="O207" t="s">
        <v>107</v>
      </c>
      <c r="P207" s="7" t="str">
        <f t="shared" si="18"/>
        <v>-</v>
      </c>
      <c r="Q207" s="7" t="str">
        <f t="shared" si="19"/>
        <v>-</v>
      </c>
      <c r="R207" s="7" t="str">
        <f t="shared" si="20"/>
        <v>-</v>
      </c>
      <c r="S207" s="5" t="str">
        <f t="shared" si="21"/>
        <v>-</v>
      </c>
      <c r="T207" s="5" t="str">
        <f t="shared" si="22"/>
        <v>-</v>
      </c>
      <c r="U207" s="5" t="str">
        <f t="shared" si="23"/>
        <v>-</v>
      </c>
    </row>
    <row r="208" spans="1:21" x14ac:dyDescent="0.2">
      <c r="A208" s="5">
        <v>161</v>
      </c>
      <c r="B208" s="11" t="s">
        <v>839</v>
      </c>
      <c r="C208" s="8" t="s">
        <v>425</v>
      </c>
      <c r="D208" t="s">
        <v>107</v>
      </c>
      <c r="E208" t="s">
        <v>717</v>
      </c>
      <c r="F208" s="5" t="s">
        <v>107</v>
      </c>
      <c r="G208" s="5" t="s">
        <v>107</v>
      </c>
      <c r="H208" s="5" t="s">
        <v>107</v>
      </c>
      <c r="I208" s="5" t="s">
        <v>107</v>
      </c>
      <c r="J208" s="5" t="s">
        <v>107</v>
      </c>
      <c r="K208" s="5" t="s">
        <v>107</v>
      </c>
      <c r="L208" s="5" t="s">
        <v>107</v>
      </c>
      <c r="M208" s="5" t="s">
        <v>107</v>
      </c>
      <c r="N208" s="43" t="s">
        <v>107</v>
      </c>
      <c r="O208" t="s">
        <v>107</v>
      </c>
      <c r="P208" s="7" t="str">
        <f t="shared" si="18"/>
        <v>-</v>
      </c>
      <c r="Q208" s="7" t="str">
        <f t="shared" si="19"/>
        <v>-</v>
      </c>
      <c r="R208" s="7" t="str">
        <f t="shared" si="20"/>
        <v>-</v>
      </c>
      <c r="S208" s="5" t="str">
        <f t="shared" si="21"/>
        <v>-</v>
      </c>
      <c r="T208" s="5" t="str">
        <f t="shared" si="22"/>
        <v>-</v>
      </c>
      <c r="U208" s="5" t="str">
        <f t="shared" si="23"/>
        <v>-</v>
      </c>
    </row>
    <row r="209" spans="1:21" x14ac:dyDescent="0.2">
      <c r="A209" s="5">
        <v>165</v>
      </c>
      <c r="B209" s="11" t="s">
        <v>839</v>
      </c>
      <c r="C209" s="8" t="s">
        <v>425</v>
      </c>
      <c r="D209" t="s">
        <v>107</v>
      </c>
      <c r="E209" t="s">
        <v>723</v>
      </c>
      <c r="F209" s="5" t="s">
        <v>107</v>
      </c>
      <c r="G209" s="5" t="s">
        <v>107</v>
      </c>
      <c r="H209" s="5" t="s">
        <v>107</v>
      </c>
      <c r="I209" s="5" t="s">
        <v>107</v>
      </c>
      <c r="J209" s="5" t="s">
        <v>107</v>
      </c>
      <c r="K209" s="5" t="s">
        <v>107</v>
      </c>
      <c r="L209" s="5" t="s">
        <v>107</v>
      </c>
      <c r="M209" s="5" t="s">
        <v>107</v>
      </c>
      <c r="N209" s="43" t="s">
        <v>107</v>
      </c>
      <c r="O209" t="s">
        <v>107</v>
      </c>
      <c r="P209" s="7" t="str">
        <f t="shared" si="18"/>
        <v>-</v>
      </c>
      <c r="Q209" s="7" t="str">
        <f t="shared" si="19"/>
        <v>-</v>
      </c>
      <c r="R209" s="7" t="str">
        <f t="shared" si="20"/>
        <v>-</v>
      </c>
      <c r="S209" s="5" t="str">
        <f t="shared" si="21"/>
        <v>-</v>
      </c>
      <c r="T209" s="5" t="str">
        <f t="shared" si="22"/>
        <v>-</v>
      </c>
      <c r="U209" s="5" t="str">
        <f t="shared" si="23"/>
        <v>-</v>
      </c>
    </row>
    <row r="210" spans="1:21" x14ac:dyDescent="0.2">
      <c r="A210" s="5">
        <v>167</v>
      </c>
      <c r="B210" s="11" t="s">
        <v>839</v>
      </c>
      <c r="C210" s="8" t="s">
        <v>425</v>
      </c>
      <c r="D210" t="s">
        <v>720</v>
      </c>
      <c r="E210" t="s">
        <v>722</v>
      </c>
      <c r="F210" s="5" t="s">
        <v>107</v>
      </c>
      <c r="G210" s="5" t="s">
        <v>107</v>
      </c>
      <c r="H210" s="5" t="s">
        <v>107</v>
      </c>
      <c r="I210" s="5" t="s">
        <v>107</v>
      </c>
      <c r="J210" s="5" t="s">
        <v>107</v>
      </c>
      <c r="K210" s="5" t="s">
        <v>107</v>
      </c>
      <c r="L210" s="5" t="s">
        <v>107</v>
      </c>
      <c r="M210" s="5" t="s">
        <v>107</v>
      </c>
      <c r="N210" s="43" t="s">
        <v>107</v>
      </c>
      <c r="O210" t="s">
        <v>107</v>
      </c>
      <c r="P210" s="7" t="str">
        <f t="shared" si="18"/>
        <v>-</v>
      </c>
      <c r="Q210" s="7" t="str">
        <f t="shared" si="19"/>
        <v>-</v>
      </c>
      <c r="R210" s="7" t="str">
        <f t="shared" si="20"/>
        <v>-</v>
      </c>
      <c r="S210" s="5" t="str">
        <f t="shared" si="21"/>
        <v>-</v>
      </c>
      <c r="T210" s="5" t="str">
        <f t="shared" si="22"/>
        <v>-</v>
      </c>
      <c r="U210" s="5" t="str">
        <f t="shared" si="23"/>
        <v>-</v>
      </c>
    </row>
    <row r="211" spans="1:21" x14ac:dyDescent="0.2">
      <c r="A211" s="5">
        <v>164</v>
      </c>
      <c r="B211" s="11" t="s">
        <v>839</v>
      </c>
      <c r="C211" s="8" t="s">
        <v>425</v>
      </c>
      <c r="D211" t="s">
        <v>720</v>
      </c>
      <c r="E211" t="s">
        <v>721</v>
      </c>
      <c r="F211" s="5" t="s">
        <v>107</v>
      </c>
      <c r="G211" s="5" t="s">
        <v>107</v>
      </c>
      <c r="H211" s="5" t="s">
        <v>107</v>
      </c>
      <c r="I211" s="5" t="s">
        <v>107</v>
      </c>
      <c r="J211" s="5" t="s">
        <v>107</v>
      </c>
      <c r="K211" s="5" t="s">
        <v>107</v>
      </c>
      <c r="L211" s="5" t="s">
        <v>107</v>
      </c>
      <c r="M211" s="5" t="s">
        <v>107</v>
      </c>
      <c r="N211" s="43" t="s">
        <v>107</v>
      </c>
      <c r="O211" t="s">
        <v>107</v>
      </c>
      <c r="P211" s="7" t="str">
        <f t="shared" si="18"/>
        <v>-</v>
      </c>
      <c r="Q211" s="7" t="str">
        <f t="shared" si="19"/>
        <v>-</v>
      </c>
      <c r="R211" s="7" t="str">
        <f t="shared" si="20"/>
        <v>-</v>
      </c>
      <c r="S211" s="5" t="str">
        <f t="shared" si="21"/>
        <v>-</v>
      </c>
      <c r="T211" s="5" t="str">
        <f t="shared" si="22"/>
        <v>-</v>
      </c>
      <c r="U211" s="5" t="str">
        <f t="shared" si="23"/>
        <v>-</v>
      </c>
    </row>
    <row r="212" spans="1:21" x14ac:dyDescent="0.2">
      <c r="A212" s="5">
        <v>246</v>
      </c>
      <c r="B212" s="11" t="s">
        <v>839</v>
      </c>
      <c r="C212" s="9" t="s">
        <v>563</v>
      </c>
      <c r="D212" s="9" t="s">
        <v>107</v>
      </c>
      <c r="E212" s="9" t="s">
        <v>107</v>
      </c>
      <c r="F212" s="5" t="s">
        <v>107</v>
      </c>
      <c r="G212" s="5" t="s">
        <v>107</v>
      </c>
      <c r="H212" s="5" t="s">
        <v>107</v>
      </c>
      <c r="I212" s="5" t="s">
        <v>107</v>
      </c>
      <c r="J212" s="5" t="s">
        <v>107</v>
      </c>
      <c r="K212" s="5" t="s">
        <v>107</v>
      </c>
      <c r="L212" s="5" t="s">
        <v>107</v>
      </c>
      <c r="M212" s="5" t="s">
        <v>107</v>
      </c>
      <c r="N212" s="43" t="s">
        <v>107</v>
      </c>
      <c r="O212" t="s">
        <v>107</v>
      </c>
      <c r="P212" s="7" t="str">
        <f t="shared" si="18"/>
        <v>-</v>
      </c>
      <c r="Q212" s="7" t="str">
        <f t="shared" si="19"/>
        <v>-</v>
      </c>
      <c r="R212" s="7" t="str">
        <f t="shared" si="20"/>
        <v>-</v>
      </c>
      <c r="S212" s="5" t="str">
        <f t="shared" si="21"/>
        <v>-</v>
      </c>
      <c r="T212" s="5" t="str">
        <f t="shared" si="22"/>
        <v>-</v>
      </c>
      <c r="U212" s="5" t="str">
        <f t="shared" si="23"/>
        <v>-</v>
      </c>
    </row>
    <row r="213" spans="1:21" x14ac:dyDescent="0.2">
      <c r="A213" s="5">
        <v>112</v>
      </c>
      <c r="B213" s="11" t="s">
        <v>839</v>
      </c>
      <c r="C213" s="9" t="s">
        <v>563</v>
      </c>
      <c r="D213" s="9" t="s">
        <v>564</v>
      </c>
      <c r="E213" s="9" t="s">
        <v>565</v>
      </c>
      <c r="F213" s="5">
        <v>45</v>
      </c>
      <c r="G213" s="5">
        <v>59</v>
      </c>
      <c r="H213" s="5">
        <v>40</v>
      </c>
      <c r="I213" s="5" t="s">
        <v>132</v>
      </c>
      <c r="J213" s="5">
        <v>26</v>
      </c>
      <c r="K213" s="5">
        <v>40</v>
      </c>
      <c r="L213" s="5">
        <v>7</v>
      </c>
      <c r="M213" s="5" t="s">
        <v>133</v>
      </c>
      <c r="N213" s="43" t="s">
        <v>163</v>
      </c>
      <c r="O213" t="s">
        <v>107</v>
      </c>
      <c r="P213" s="7">
        <f t="shared" si="18"/>
        <v>45.994444444444447</v>
      </c>
      <c r="Q213" s="7">
        <f t="shared" si="19"/>
        <v>26.668611111111112</v>
      </c>
      <c r="R213" s="7" t="str">
        <f t="shared" si="20"/>
        <v>45º59′40″ N</v>
      </c>
      <c r="S213" s="5" t="str">
        <f t="shared" si="21"/>
        <v>026º40′07″ E</v>
      </c>
      <c r="T213" s="5" t="str">
        <f t="shared" si="22"/>
        <v>45º59.67′N</v>
      </c>
      <c r="U213" s="5" t="str">
        <f t="shared" si="23"/>
        <v>026º40.12′E</v>
      </c>
    </row>
    <row r="214" spans="1:21" x14ac:dyDescent="0.2">
      <c r="A214" s="5">
        <v>247</v>
      </c>
      <c r="B214" s="11" t="s">
        <v>839</v>
      </c>
      <c r="C214" s="9" t="s">
        <v>625</v>
      </c>
      <c r="D214" s="9" t="s">
        <v>107</v>
      </c>
      <c r="E214" s="9" t="s">
        <v>107</v>
      </c>
      <c r="F214" s="5" t="s">
        <v>107</v>
      </c>
      <c r="G214" s="5" t="s">
        <v>107</v>
      </c>
      <c r="H214" s="5" t="s">
        <v>107</v>
      </c>
      <c r="I214" s="5" t="s">
        <v>107</v>
      </c>
      <c r="J214" s="5" t="s">
        <v>107</v>
      </c>
      <c r="K214" s="5" t="s">
        <v>107</v>
      </c>
      <c r="L214" s="5" t="s">
        <v>107</v>
      </c>
      <c r="M214" s="5" t="s">
        <v>107</v>
      </c>
      <c r="N214" s="43" t="s">
        <v>107</v>
      </c>
      <c r="O214" t="s">
        <v>107</v>
      </c>
      <c r="P214" s="7" t="str">
        <f t="shared" si="18"/>
        <v>-</v>
      </c>
      <c r="Q214" s="7" t="str">
        <f t="shared" si="19"/>
        <v>-</v>
      </c>
      <c r="R214" s="7" t="str">
        <f t="shared" si="20"/>
        <v>-</v>
      </c>
      <c r="S214" s="5" t="str">
        <f t="shared" si="21"/>
        <v>-</v>
      </c>
      <c r="T214" s="5" t="str">
        <f t="shared" si="22"/>
        <v>-</v>
      </c>
      <c r="U214" s="5" t="str">
        <f t="shared" si="23"/>
        <v>-</v>
      </c>
    </row>
    <row r="215" spans="1:21" x14ac:dyDescent="0.2">
      <c r="A215" s="5">
        <v>136</v>
      </c>
      <c r="B215" s="11" t="s">
        <v>839</v>
      </c>
      <c r="C215" s="9" t="s">
        <v>625</v>
      </c>
      <c r="D215" s="9" t="s">
        <v>626</v>
      </c>
      <c r="E215" s="9" t="s">
        <v>629</v>
      </c>
      <c r="F215" s="5">
        <v>48</v>
      </c>
      <c r="G215" s="5">
        <v>26</v>
      </c>
      <c r="H215" s="5">
        <v>42</v>
      </c>
      <c r="I215" s="5" t="s">
        <v>132</v>
      </c>
      <c r="J215" s="5">
        <v>45</v>
      </c>
      <c r="K215" s="5">
        <v>33</v>
      </c>
      <c r="L215" s="5">
        <v>54</v>
      </c>
      <c r="M215" s="5" t="s">
        <v>133</v>
      </c>
      <c r="N215" s="45" t="s">
        <v>163</v>
      </c>
      <c r="O215" t="s">
        <v>107</v>
      </c>
      <c r="P215" s="7">
        <f t="shared" si="18"/>
        <v>48.444999999999993</v>
      </c>
      <c r="Q215" s="7">
        <f t="shared" si="19"/>
        <v>45.564999999999998</v>
      </c>
      <c r="R215" s="5" t="s">
        <v>107</v>
      </c>
      <c r="S215" s="5" t="s">
        <v>107</v>
      </c>
      <c r="T215" s="5" t="s">
        <v>107</v>
      </c>
      <c r="U215" s="5" t="s">
        <v>107</v>
      </c>
    </row>
    <row r="216" spans="1:21" x14ac:dyDescent="0.2">
      <c r="A216" s="5">
        <v>137</v>
      </c>
      <c r="B216" s="11" t="s">
        <v>839</v>
      </c>
      <c r="C216" s="9" t="s">
        <v>625</v>
      </c>
      <c r="D216" s="9" t="s">
        <v>626</v>
      </c>
      <c r="E216" s="9" t="s">
        <v>630</v>
      </c>
      <c r="F216" s="5">
        <v>48</v>
      </c>
      <c r="G216" s="5">
        <v>10</v>
      </c>
      <c r="H216" s="5">
        <v>0</v>
      </c>
      <c r="I216" s="5" t="s">
        <v>132</v>
      </c>
      <c r="J216" s="5">
        <v>46</v>
      </c>
      <c r="K216" s="5">
        <v>53</v>
      </c>
      <c r="L216" s="5">
        <v>0</v>
      </c>
      <c r="M216" s="5" t="s">
        <v>133</v>
      </c>
      <c r="N216" s="45" t="s">
        <v>163</v>
      </c>
      <c r="O216" t="s">
        <v>107</v>
      </c>
      <c r="P216" s="7">
        <f t="shared" si="18"/>
        <v>48.166666666666664</v>
      </c>
      <c r="Q216" s="7">
        <f t="shared" si="19"/>
        <v>46.883333333333333</v>
      </c>
      <c r="R216" s="5" t="s">
        <v>107</v>
      </c>
      <c r="S216" s="5" t="s">
        <v>107</v>
      </c>
      <c r="T216" s="5" t="s">
        <v>107</v>
      </c>
      <c r="U216" s="5" t="s">
        <v>107</v>
      </c>
    </row>
    <row r="217" spans="1:21" x14ac:dyDescent="0.2">
      <c r="A217" s="5">
        <v>139</v>
      </c>
      <c r="B217" s="11" t="s">
        <v>839</v>
      </c>
      <c r="C217" s="9" t="s">
        <v>625</v>
      </c>
      <c r="D217" s="9" t="s">
        <v>628</v>
      </c>
      <c r="E217" s="9" t="s">
        <v>632</v>
      </c>
      <c r="F217" s="5">
        <v>53</v>
      </c>
      <c r="G217" s="5">
        <v>7</v>
      </c>
      <c r="H217" s="5">
        <v>0</v>
      </c>
      <c r="I217" s="5" t="s">
        <v>132</v>
      </c>
      <c r="J217" s="5">
        <v>50</v>
      </c>
      <c r="K217" s="5">
        <v>4</v>
      </c>
      <c r="L217" s="5">
        <v>0</v>
      </c>
      <c r="M217" s="5" t="s">
        <v>133</v>
      </c>
      <c r="N217" s="45" t="s">
        <v>163</v>
      </c>
      <c r="O217" t="s">
        <v>107</v>
      </c>
      <c r="P217" s="7">
        <f t="shared" si="18"/>
        <v>53.116666666666667</v>
      </c>
      <c r="Q217" s="7">
        <f t="shared" si="19"/>
        <v>50.06666666666667</v>
      </c>
      <c r="R217" s="5" t="s">
        <v>107</v>
      </c>
      <c r="S217" s="5" t="s">
        <v>107</v>
      </c>
      <c r="T217" s="5" t="s">
        <v>107</v>
      </c>
      <c r="U217" s="5" t="s">
        <v>107</v>
      </c>
    </row>
    <row r="218" spans="1:21" x14ac:dyDescent="0.2">
      <c r="A218" s="5">
        <v>138</v>
      </c>
      <c r="B218" s="11" t="s">
        <v>839</v>
      </c>
      <c r="C218" s="9" t="s">
        <v>625</v>
      </c>
      <c r="D218" s="9" t="s">
        <v>627</v>
      </c>
      <c r="E218" s="9" t="s">
        <v>631</v>
      </c>
      <c r="F218" s="5">
        <v>49</v>
      </c>
      <c r="G218" s="5">
        <v>22</v>
      </c>
      <c r="H218" s="5">
        <v>46</v>
      </c>
      <c r="I218" s="5" t="s">
        <v>132</v>
      </c>
      <c r="J218" s="5">
        <v>44</v>
      </c>
      <c r="K218" s="5">
        <v>59</v>
      </c>
      <c r="L218" s="5">
        <v>13</v>
      </c>
      <c r="M218" s="5" t="s">
        <v>133</v>
      </c>
      <c r="N218" s="45" t="s">
        <v>163</v>
      </c>
      <c r="O218" t="s">
        <v>107</v>
      </c>
      <c r="P218" s="7">
        <f t="shared" si="18"/>
        <v>49.379444444444445</v>
      </c>
      <c r="Q218" s="7">
        <f t="shared" si="19"/>
        <v>44.986944444444447</v>
      </c>
      <c r="R218" s="7" t="str">
        <f t="shared" ref="R218" si="24">IF(P218="-","-",TEXT(F218,"00")&amp;"º"&amp;TEXT(G218,"00")&amp;"′"&amp;TEXT(H218,"00")&amp;"″ "&amp;I218)</f>
        <v>49º22′46″ N</v>
      </c>
      <c r="S218" s="5" t="str">
        <f t="shared" ref="S218" si="25">IF(P218="-","-",TEXT(J218,"000")&amp;"º"&amp;TEXT(K218,"00")&amp;"′"&amp;TEXT(L218,"00")&amp;"″ "&amp;M218)</f>
        <v>044º59′13″ E</v>
      </c>
      <c r="T218" s="5" t="str">
        <f t="shared" ref="T218" si="26">IF(P218="-","-",TEXT(F218,"00")&amp;"º"&amp;TEXT(G218,"00")&amp;"."&amp;TEXT(H218*100/60,"00")&amp;"′"&amp;I218)</f>
        <v>49º22.77′N</v>
      </c>
      <c r="U218" s="5" t="str">
        <f t="shared" ref="U218" si="27">IF(P218="-","-",TEXT(J218,"000")&amp;"º"&amp;TEXT(K218,"00")&amp;"."&amp;TEXT(L218*100/60,"00")&amp;"′"&amp;M218)</f>
        <v>044º59.22′E</v>
      </c>
    </row>
    <row r="219" spans="1:21" x14ac:dyDescent="0.2">
      <c r="A219" s="5">
        <v>72</v>
      </c>
      <c r="B219" s="11" t="s">
        <v>839</v>
      </c>
      <c r="C219" s="9" t="s">
        <v>179</v>
      </c>
      <c r="D219" s="9" t="s">
        <v>107</v>
      </c>
      <c r="E219" s="9" t="s">
        <v>107</v>
      </c>
      <c r="F219" s="5" t="s">
        <v>107</v>
      </c>
      <c r="G219" s="5" t="s">
        <v>107</v>
      </c>
      <c r="H219" s="5" t="s">
        <v>107</v>
      </c>
      <c r="I219" s="5" t="s">
        <v>107</v>
      </c>
      <c r="J219" s="5" t="s">
        <v>107</v>
      </c>
      <c r="K219" s="5" t="s">
        <v>107</v>
      </c>
      <c r="L219" s="5" t="s">
        <v>107</v>
      </c>
      <c r="M219" s="5" t="s">
        <v>107</v>
      </c>
      <c r="N219" s="45" t="s">
        <v>107</v>
      </c>
      <c r="O219" t="s">
        <v>107</v>
      </c>
      <c r="P219" s="7" t="str">
        <f t="shared" si="18"/>
        <v>-</v>
      </c>
      <c r="Q219" s="7" t="str">
        <f t="shared" si="19"/>
        <v>-</v>
      </c>
      <c r="R219" s="7" t="str">
        <f t="shared" ref="R219" si="28">IF(P219="-","-",TEXT(F219,"00")&amp;"º"&amp;TEXT(G219,"00")&amp;"′"&amp;TEXT(H219,"00")&amp;"″ "&amp;I219)</f>
        <v>-</v>
      </c>
      <c r="S219" s="5" t="str">
        <f t="shared" ref="S219" si="29">IF(P219="-","-",TEXT(J219,"000")&amp;"º"&amp;TEXT(K219,"00")&amp;"′"&amp;TEXT(L219,"00")&amp;"″ "&amp;M219)</f>
        <v>-</v>
      </c>
      <c r="T219" s="5" t="str">
        <f t="shared" ref="T219" si="30">IF(P219="-","-",TEXT(F219,"00")&amp;"º"&amp;TEXT(G219,"00")&amp;"."&amp;TEXT(H219*100/60,"00")&amp;"′"&amp;I219)</f>
        <v>-</v>
      </c>
      <c r="U219" s="5" t="str">
        <f t="shared" ref="U219" si="31">IF(P219="-","-",TEXT(J219,"000")&amp;"º"&amp;TEXT(K219,"00")&amp;"."&amp;TEXT(L219*100/60,"00")&amp;"′"&amp;M219)</f>
        <v>-</v>
      </c>
    </row>
    <row r="220" spans="1:21" x14ac:dyDescent="0.2">
      <c r="A220" s="5">
        <v>98</v>
      </c>
      <c r="B220" s="11" t="s">
        <v>839</v>
      </c>
      <c r="C220" s="9" t="s">
        <v>179</v>
      </c>
      <c r="D220" s="9" t="s">
        <v>522</v>
      </c>
      <c r="E220" s="9" t="s">
        <v>523</v>
      </c>
      <c r="F220" s="5">
        <v>48</v>
      </c>
      <c r="G220" s="5">
        <v>9</v>
      </c>
      <c r="H220" s="5">
        <v>0</v>
      </c>
      <c r="I220" s="5" t="s">
        <v>132</v>
      </c>
      <c r="J220" s="5">
        <v>19</v>
      </c>
      <c r="K220" s="5">
        <v>6</v>
      </c>
      <c r="L220" s="5">
        <v>0</v>
      </c>
      <c r="M220" s="5" t="s">
        <v>133</v>
      </c>
      <c r="N220" s="37" t="s">
        <v>1225</v>
      </c>
      <c r="O220" t="s">
        <v>107</v>
      </c>
      <c r="P220" s="7">
        <f t="shared" si="18"/>
        <v>48.15</v>
      </c>
      <c r="Q220" s="7">
        <f t="shared" si="19"/>
        <v>19.100000000000001</v>
      </c>
      <c r="R220" s="7" t="str">
        <f t="shared" ref="R220" si="32">IF(P220="-","-",TEXT(F220,"00")&amp;"º"&amp;TEXT(G220,"00")&amp;"′"&amp;TEXT(H220,"00")&amp;"″ "&amp;I220)</f>
        <v>48º09′00″ N</v>
      </c>
      <c r="S220" s="5" t="str">
        <f t="shared" ref="S220" si="33">IF(P220="-","-",TEXT(J220,"000")&amp;"º"&amp;TEXT(K220,"00")&amp;"′"&amp;TEXT(L220,"00")&amp;"″ "&amp;M220)</f>
        <v>019º06′00″ E</v>
      </c>
      <c r="T220" s="5" t="str">
        <f t="shared" ref="T220" si="34">IF(P220="-","-",TEXT(F220,"00")&amp;"º"&amp;TEXT(G220,"00")&amp;"."&amp;TEXT(H220*100/60,"00")&amp;"′"&amp;I220)</f>
        <v>48º09.00′N</v>
      </c>
      <c r="U220" s="5" t="str">
        <f t="shared" ref="U220" si="35">IF(P220="-","-",TEXT(J220,"000")&amp;"º"&amp;TEXT(K220,"00")&amp;"."&amp;TEXT(L220*100/60,"00")&amp;"′"&amp;M220)</f>
        <v>019º06.00′E</v>
      </c>
    </row>
    <row r="221" spans="1:21" x14ac:dyDescent="0.2">
      <c r="A221" s="5">
        <v>6</v>
      </c>
      <c r="B221" s="11" t="s">
        <v>839</v>
      </c>
      <c r="C221" s="9" t="s">
        <v>179</v>
      </c>
      <c r="D221" s="9" t="s">
        <v>180</v>
      </c>
      <c r="E221" s="9" t="s">
        <v>181</v>
      </c>
      <c r="F221" s="5">
        <v>48</v>
      </c>
      <c r="G221" s="5">
        <v>51</v>
      </c>
      <c r="H221" s="5">
        <v>0</v>
      </c>
      <c r="I221" s="5" t="s">
        <v>132</v>
      </c>
      <c r="J221" s="5">
        <v>22</v>
      </c>
      <c r="K221" s="5">
        <v>21</v>
      </c>
      <c r="L221" s="5">
        <v>0</v>
      </c>
      <c r="M221" s="5" t="s">
        <v>133</v>
      </c>
      <c r="N221" s="45" t="s">
        <v>163</v>
      </c>
      <c r="O221" t="s">
        <v>107</v>
      </c>
      <c r="P221" s="7">
        <f t="shared" si="18"/>
        <v>48.85</v>
      </c>
      <c r="Q221" s="7">
        <f t="shared" si="19"/>
        <v>22.35</v>
      </c>
      <c r="R221" s="7" t="str">
        <f t="shared" ref="R221:R260" si="36">IF(P221="-","-",TEXT(F221,"00")&amp;"º"&amp;TEXT(G221,"00")&amp;"′"&amp;TEXT(H221,"00")&amp;"″ "&amp;I221)</f>
        <v>48º51′00″ N</v>
      </c>
      <c r="S221" s="5" t="str">
        <f t="shared" ref="S221:S260" si="37">IF(P221="-","-",TEXT(J221,"000")&amp;"º"&amp;TEXT(K221,"00")&amp;"′"&amp;TEXT(L221,"00")&amp;"″ "&amp;M221)</f>
        <v>022º21′00″ E</v>
      </c>
      <c r="T221" s="5" t="str">
        <f t="shared" ref="T221:T260" si="38">IF(P221="-","-",TEXT(F221,"00")&amp;"º"&amp;TEXT(G221,"00")&amp;"."&amp;TEXT(H221*100/60,"00")&amp;"′"&amp;I221)</f>
        <v>48º51.00′N</v>
      </c>
      <c r="U221" s="5" t="str">
        <f t="shared" ref="U221:U260" si="39">IF(P221="-","-",TEXT(J221,"000")&amp;"º"&amp;TEXT(K221,"00")&amp;"."&amp;TEXT(L221*100/60,"00")&amp;"′"&amp;M221)</f>
        <v>022º21.00′E</v>
      </c>
    </row>
    <row r="222" spans="1:21" x14ac:dyDescent="0.2">
      <c r="A222" s="5">
        <v>7</v>
      </c>
      <c r="B222" s="11" t="s">
        <v>839</v>
      </c>
      <c r="C222" s="9" t="s">
        <v>179</v>
      </c>
      <c r="D222" s="9" t="s">
        <v>185</v>
      </c>
      <c r="E222" s="9" t="s">
        <v>186</v>
      </c>
      <c r="F222" s="5">
        <v>48</v>
      </c>
      <c r="G222" s="5">
        <v>42</v>
      </c>
      <c r="H222" s="5">
        <v>0</v>
      </c>
      <c r="I222" s="5" t="s">
        <v>132</v>
      </c>
      <c r="J222" s="5">
        <v>20</v>
      </c>
      <c r="K222" s="5">
        <v>31</v>
      </c>
      <c r="L222" s="5">
        <v>0</v>
      </c>
      <c r="M222" s="5" t="s">
        <v>133</v>
      </c>
      <c r="N222" s="45" t="s">
        <v>163</v>
      </c>
      <c r="O222" t="s">
        <v>107</v>
      </c>
      <c r="P222" s="7">
        <f t="shared" si="18"/>
        <v>48.7</v>
      </c>
      <c r="Q222" s="7">
        <f t="shared" si="19"/>
        <v>20.516666666666666</v>
      </c>
      <c r="R222" s="7" t="str">
        <f t="shared" si="36"/>
        <v>48º42′00″ N</v>
      </c>
      <c r="S222" s="5" t="str">
        <f t="shared" si="37"/>
        <v>020º31′00″ E</v>
      </c>
      <c r="T222" s="5" t="str">
        <f t="shared" si="38"/>
        <v>48º42.00′N</v>
      </c>
      <c r="U222" s="5" t="str">
        <f t="shared" si="39"/>
        <v>020º31.00′E</v>
      </c>
    </row>
    <row r="223" spans="1:21" x14ac:dyDescent="0.2">
      <c r="A223" s="5">
        <v>248</v>
      </c>
      <c r="B223" s="11" t="s">
        <v>839</v>
      </c>
      <c r="C223" s="9" t="s">
        <v>799</v>
      </c>
      <c r="D223" s="9" t="s">
        <v>107</v>
      </c>
      <c r="E223" s="9" t="s">
        <v>107</v>
      </c>
      <c r="F223" s="5" t="s">
        <v>107</v>
      </c>
      <c r="G223" s="5" t="s">
        <v>107</v>
      </c>
      <c r="H223" s="5" t="s">
        <v>107</v>
      </c>
      <c r="I223" s="5" t="s">
        <v>107</v>
      </c>
      <c r="J223" s="5" t="s">
        <v>107</v>
      </c>
      <c r="K223" s="5" t="s">
        <v>107</v>
      </c>
      <c r="L223" s="5" t="s">
        <v>107</v>
      </c>
      <c r="M223" s="5" t="s">
        <v>107</v>
      </c>
      <c r="N223" s="43" t="s">
        <v>107</v>
      </c>
      <c r="O223" t="s">
        <v>107</v>
      </c>
      <c r="P223" s="7" t="str">
        <f t="shared" si="18"/>
        <v>-</v>
      </c>
      <c r="Q223" s="7" t="str">
        <f t="shared" si="19"/>
        <v>-</v>
      </c>
      <c r="R223" s="7" t="str">
        <f t="shared" si="36"/>
        <v>-</v>
      </c>
      <c r="S223" s="5" t="str">
        <f t="shared" si="37"/>
        <v>-</v>
      </c>
      <c r="T223" s="5" t="str">
        <f t="shared" si="38"/>
        <v>-</v>
      </c>
      <c r="U223" s="5" t="str">
        <f t="shared" si="39"/>
        <v>-</v>
      </c>
    </row>
    <row r="224" spans="1:21" x14ac:dyDescent="0.2">
      <c r="A224" s="5">
        <v>195</v>
      </c>
      <c r="B224" s="11" t="s">
        <v>839</v>
      </c>
      <c r="C224" s="9" t="s">
        <v>799</v>
      </c>
      <c r="D224" s="9" t="s">
        <v>800</v>
      </c>
      <c r="E224" s="9" t="s">
        <v>801</v>
      </c>
      <c r="F224" s="5">
        <v>45</v>
      </c>
      <c r="G224" s="5">
        <v>47</v>
      </c>
      <c r="H224" s="5">
        <v>13</v>
      </c>
      <c r="I224" s="5" t="s">
        <v>132</v>
      </c>
      <c r="J224" s="5">
        <v>14</v>
      </c>
      <c r="K224" s="5">
        <v>20</v>
      </c>
      <c r="L224" s="5">
        <v>52</v>
      </c>
      <c r="M224" s="5" t="s">
        <v>133</v>
      </c>
      <c r="N224" s="45" t="s">
        <v>163</v>
      </c>
      <c r="O224" t="s">
        <v>107</v>
      </c>
      <c r="P224" s="7">
        <f t="shared" si="18"/>
        <v>45.786944444444444</v>
      </c>
      <c r="Q224" s="7">
        <f t="shared" si="19"/>
        <v>14.347777777777779</v>
      </c>
      <c r="R224" s="7" t="str">
        <f t="shared" si="36"/>
        <v>45º47′13″ N</v>
      </c>
      <c r="S224" s="5" t="str">
        <f t="shared" si="37"/>
        <v>014º20′52″ E</v>
      </c>
      <c r="T224" s="5" t="str">
        <f t="shared" si="38"/>
        <v>45º47.22′N</v>
      </c>
      <c r="U224" s="5" t="str">
        <f t="shared" si="39"/>
        <v>014º20.87′E</v>
      </c>
    </row>
    <row r="225" spans="1:21" x14ac:dyDescent="0.2">
      <c r="A225" s="5">
        <v>249</v>
      </c>
      <c r="B225" s="11" t="s">
        <v>839</v>
      </c>
      <c r="C225" s="9" t="s">
        <v>400</v>
      </c>
      <c r="D225" s="9" t="s">
        <v>107</v>
      </c>
      <c r="E225" s="9" t="s">
        <v>107</v>
      </c>
      <c r="F225" s="5" t="s">
        <v>107</v>
      </c>
      <c r="G225" s="5" t="s">
        <v>107</v>
      </c>
      <c r="H225" s="5" t="s">
        <v>107</v>
      </c>
      <c r="I225" s="5" t="s">
        <v>107</v>
      </c>
      <c r="J225" s="5" t="s">
        <v>107</v>
      </c>
      <c r="K225" s="5" t="s">
        <v>107</v>
      </c>
      <c r="L225" s="5" t="s">
        <v>107</v>
      </c>
      <c r="M225" s="5" t="s">
        <v>107</v>
      </c>
      <c r="N225" s="43" t="s">
        <v>107</v>
      </c>
      <c r="O225" t="s">
        <v>107</v>
      </c>
      <c r="P225" s="7" t="str">
        <f t="shared" si="18"/>
        <v>-</v>
      </c>
      <c r="Q225" s="7" t="str">
        <f t="shared" si="19"/>
        <v>-</v>
      </c>
      <c r="R225" s="7" t="str">
        <f t="shared" si="36"/>
        <v>-</v>
      </c>
      <c r="S225" s="5" t="str">
        <f t="shared" si="37"/>
        <v>-</v>
      </c>
      <c r="T225" s="5" t="str">
        <f t="shared" si="38"/>
        <v>-</v>
      </c>
      <c r="U225" s="5" t="str">
        <f t="shared" si="39"/>
        <v>-</v>
      </c>
    </row>
    <row r="226" spans="1:21" x14ac:dyDescent="0.2">
      <c r="A226" s="5">
        <v>99</v>
      </c>
      <c r="B226" s="11" t="s">
        <v>839</v>
      </c>
      <c r="C226" s="9" t="s">
        <v>400</v>
      </c>
      <c r="D226" s="9" t="s">
        <v>524</v>
      </c>
      <c r="E226" s="9" t="s">
        <v>525</v>
      </c>
      <c r="F226" s="5">
        <v>40</v>
      </c>
      <c r="G226" s="5">
        <v>42</v>
      </c>
      <c r="H226" s="5">
        <v>0</v>
      </c>
      <c r="I226" s="5" t="s">
        <v>132</v>
      </c>
      <c r="J226" s="5">
        <v>0</v>
      </c>
      <c r="K226" s="5">
        <v>50</v>
      </c>
      <c r="L226" s="5">
        <v>0</v>
      </c>
      <c r="M226" s="5" t="s">
        <v>133</v>
      </c>
      <c r="N226" s="39" t="s">
        <v>1217</v>
      </c>
      <c r="O226" t="s">
        <v>107</v>
      </c>
      <c r="P226" s="7">
        <f t="shared" si="18"/>
        <v>40.700000000000003</v>
      </c>
      <c r="Q226" s="7">
        <f t="shared" si="19"/>
        <v>0.83333333333333337</v>
      </c>
      <c r="R226" s="7" t="str">
        <f t="shared" si="36"/>
        <v>40º42′00″ N</v>
      </c>
      <c r="S226" s="5" t="str">
        <f t="shared" si="37"/>
        <v>000º50′00″ E</v>
      </c>
      <c r="T226" s="5" t="str">
        <f t="shared" si="38"/>
        <v>40º42.00′N</v>
      </c>
      <c r="U226" s="5" t="str">
        <f t="shared" si="39"/>
        <v>000º50.00′E</v>
      </c>
    </row>
    <row r="227" spans="1:21" x14ac:dyDescent="0.2">
      <c r="A227" s="5">
        <v>59</v>
      </c>
      <c r="B227" s="11" t="s">
        <v>839</v>
      </c>
      <c r="C227" s="9" t="s">
        <v>400</v>
      </c>
      <c r="D227" s="9" t="s">
        <v>401</v>
      </c>
      <c r="E227" s="9" t="s">
        <v>402</v>
      </c>
      <c r="F227" s="5">
        <v>42</v>
      </c>
      <c r="G227" s="5">
        <v>25</v>
      </c>
      <c r="H227" s="5">
        <v>34</v>
      </c>
      <c r="I227" s="5" t="s">
        <v>132</v>
      </c>
      <c r="J227" s="5">
        <v>2</v>
      </c>
      <c r="K227" s="5">
        <v>4</v>
      </c>
      <c r="L227" s="5">
        <v>56</v>
      </c>
      <c r="M227" s="5" t="s">
        <v>138</v>
      </c>
      <c r="N227" s="39" t="s">
        <v>995</v>
      </c>
      <c r="O227" t="s">
        <v>107</v>
      </c>
      <c r="P227" s="7">
        <f t="shared" si="18"/>
        <v>42.426111111111112</v>
      </c>
      <c r="Q227" s="7">
        <f t="shared" si="19"/>
        <v>-2.0822222222222226</v>
      </c>
      <c r="R227" s="7" t="str">
        <f t="shared" si="36"/>
        <v>42º25′34″ N</v>
      </c>
      <c r="S227" s="5" t="str">
        <f t="shared" si="37"/>
        <v>002º04′56″ W</v>
      </c>
      <c r="T227" s="5" t="str">
        <f t="shared" si="38"/>
        <v>42º25.57′N</v>
      </c>
      <c r="U227" s="5" t="str">
        <f t="shared" si="39"/>
        <v>002º04.93′W</v>
      </c>
    </row>
    <row r="228" spans="1:21" x14ac:dyDescent="0.2">
      <c r="A228" s="5">
        <v>224</v>
      </c>
      <c r="B228" s="11" t="s">
        <v>840</v>
      </c>
      <c r="C228" s="8" t="s">
        <v>894</v>
      </c>
      <c r="D228" s="8" t="s">
        <v>107</v>
      </c>
      <c r="E228" s="8" t="s">
        <v>205</v>
      </c>
      <c r="F228" s="5">
        <v>4</v>
      </c>
      <c r="G228" s="5">
        <v>0</v>
      </c>
      <c r="H228" s="5">
        <v>0</v>
      </c>
      <c r="I228" s="5" t="s">
        <v>132</v>
      </c>
      <c r="J228" s="5">
        <v>29</v>
      </c>
      <c r="K228" s="5">
        <v>15</v>
      </c>
      <c r="L228" s="5">
        <v>0</v>
      </c>
      <c r="M228" s="5" t="s">
        <v>133</v>
      </c>
      <c r="N228" s="37" t="s">
        <v>1258</v>
      </c>
      <c r="O228" t="s">
        <v>107</v>
      </c>
      <c r="P228" s="7">
        <f t="shared" si="18"/>
        <v>4</v>
      </c>
      <c r="Q228" s="7">
        <f t="shared" si="19"/>
        <v>29.25</v>
      </c>
      <c r="R228" s="7" t="str">
        <f t="shared" si="36"/>
        <v>04º00′00″ N</v>
      </c>
      <c r="S228" s="5" t="str">
        <f t="shared" si="37"/>
        <v>029º15′00″ E</v>
      </c>
      <c r="T228" s="5" t="str">
        <f t="shared" si="38"/>
        <v>04º00.00′N</v>
      </c>
      <c r="U228" s="5" t="str">
        <f t="shared" si="39"/>
        <v>029º15.00′E</v>
      </c>
    </row>
    <row r="229" spans="1:21" x14ac:dyDescent="0.2">
      <c r="A229" s="5">
        <v>234</v>
      </c>
      <c r="B229" s="11" t="s">
        <v>840</v>
      </c>
      <c r="C229" s="9" t="s">
        <v>204</v>
      </c>
      <c r="D229" s="9" t="s">
        <v>107</v>
      </c>
      <c r="E229" s="9" t="s">
        <v>107</v>
      </c>
      <c r="F229" s="5" t="s">
        <v>107</v>
      </c>
      <c r="G229" s="5" t="s">
        <v>107</v>
      </c>
      <c r="H229" s="5" t="s">
        <v>107</v>
      </c>
      <c r="I229" s="5" t="s">
        <v>107</v>
      </c>
      <c r="J229" s="5" t="s">
        <v>107</v>
      </c>
      <c r="K229" s="5" t="s">
        <v>107</v>
      </c>
      <c r="L229" s="5" t="s">
        <v>107</v>
      </c>
      <c r="M229" s="5" t="s">
        <v>107</v>
      </c>
      <c r="N229" s="43" t="s">
        <v>107</v>
      </c>
      <c r="O229" t="s">
        <v>107</v>
      </c>
      <c r="P229" s="7" t="str">
        <f t="shared" si="18"/>
        <v>-</v>
      </c>
      <c r="Q229" s="7" t="str">
        <f t="shared" si="19"/>
        <v>-</v>
      </c>
      <c r="R229" s="7" t="str">
        <f t="shared" si="36"/>
        <v>-</v>
      </c>
      <c r="S229" s="5" t="str">
        <f t="shared" si="37"/>
        <v>-</v>
      </c>
      <c r="T229" s="5" t="str">
        <f t="shared" si="38"/>
        <v>-</v>
      </c>
      <c r="U229" s="5" t="str">
        <f t="shared" si="39"/>
        <v>-</v>
      </c>
    </row>
    <row r="230" spans="1:21" x14ac:dyDescent="0.2">
      <c r="A230" s="5">
        <v>11</v>
      </c>
      <c r="B230" s="11" t="s">
        <v>840</v>
      </c>
      <c r="C230" s="8" t="s">
        <v>204</v>
      </c>
      <c r="D230" s="8" t="s">
        <v>107</v>
      </c>
      <c r="E230" s="8" t="s">
        <v>205</v>
      </c>
      <c r="F230" s="5">
        <v>4</v>
      </c>
      <c r="G230" s="5">
        <v>0</v>
      </c>
      <c r="H230" s="5">
        <v>0</v>
      </c>
      <c r="I230" s="5" t="s">
        <v>132</v>
      </c>
      <c r="J230" s="5">
        <v>29</v>
      </c>
      <c r="K230" s="5">
        <v>15</v>
      </c>
      <c r="L230" s="5">
        <v>0</v>
      </c>
      <c r="M230" s="5" t="s">
        <v>133</v>
      </c>
      <c r="N230" s="45" t="s">
        <v>163</v>
      </c>
      <c r="O230" t="s">
        <v>107</v>
      </c>
      <c r="P230" s="7">
        <f t="shared" si="18"/>
        <v>4</v>
      </c>
      <c r="Q230" s="7">
        <f t="shared" si="19"/>
        <v>29.25</v>
      </c>
      <c r="R230" s="7" t="str">
        <f t="shared" si="36"/>
        <v>04º00′00″ N</v>
      </c>
      <c r="S230" s="5" t="str">
        <f t="shared" si="37"/>
        <v>029º15′00″ E</v>
      </c>
      <c r="T230" s="5" t="str">
        <f t="shared" si="38"/>
        <v>04º00.00′N</v>
      </c>
      <c r="U230" s="5" t="str">
        <f t="shared" si="39"/>
        <v>029º15.00′E</v>
      </c>
    </row>
    <row r="231" spans="1:21" x14ac:dyDescent="0.2">
      <c r="A231" s="5">
        <v>21</v>
      </c>
      <c r="B231" s="11" t="s">
        <v>840</v>
      </c>
      <c r="C231" s="9" t="s">
        <v>204</v>
      </c>
      <c r="D231" s="9" t="s">
        <v>258</v>
      </c>
      <c r="E231" s="9" t="s">
        <v>257</v>
      </c>
      <c r="F231" s="5">
        <v>4</v>
      </c>
      <c r="G231" s="5">
        <v>20</v>
      </c>
      <c r="H231" s="5">
        <v>0</v>
      </c>
      <c r="I231" s="5" t="s">
        <v>132</v>
      </c>
      <c r="J231" s="5">
        <v>29</v>
      </c>
      <c r="K231" s="5">
        <v>35</v>
      </c>
      <c r="L231" s="5">
        <v>0</v>
      </c>
      <c r="M231" s="5" t="s">
        <v>133</v>
      </c>
      <c r="N231" s="36" t="s">
        <v>1184</v>
      </c>
      <c r="O231" t="s">
        <v>107</v>
      </c>
      <c r="P231" s="7">
        <f t="shared" si="18"/>
        <v>4.333333333333333</v>
      </c>
      <c r="Q231" s="7">
        <f t="shared" si="19"/>
        <v>29.583333333333332</v>
      </c>
      <c r="R231" s="7" t="str">
        <f t="shared" si="36"/>
        <v>04º20′00″ N</v>
      </c>
      <c r="S231" s="5" t="str">
        <f t="shared" si="37"/>
        <v>029º35′00″ E</v>
      </c>
      <c r="T231" s="5" t="str">
        <f t="shared" si="38"/>
        <v>04º20.00′N</v>
      </c>
      <c r="U231" s="5" t="str">
        <f t="shared" si="39"/>
        <v>029º35.00′E</v>
      </c>
    </row>
    <row r="232" spans="1:21" x14ac:dyDescent="0.2">
      <c r="A232" s="5">
        <v>242</v>
      </c>
      <c r="B232" s="11" t="s">
        <v>840</v>
      </c>
      <c r="C232" s="9" t="s">
        <v>956</v>
      </c>
      <c r="D232" s="9" t="s">
        <v>107</v>
      </c>
      <c r="E232" s="9" t="s">
        <v>107</v>
      </c>
      <c r="F232" s="5" t="s">
        <v>107</v>
      </c>
      <c r="G232" s="5" t="s">
        <v>107</v>
      </c>
      <c r="H232" s="5" t="s">
        <v>107</v>
      </c>
      <c r="I232" s="5" t="s">
        <v>107</v>
      </c>
      <c r="J232" s="5" t="s">
        <v>107</v>
      </c>
      <c r="K232" s="5" t="s">
        <v>107</v>
      </c>
      <c r="L232" s="5" t="s">
        <v>107</v>
      </c>
      <c r="M232" s="5" t="s">
        <v>107</v>
      </c>
      <c r="N232" s="43" t="s">
        <v>107</v>
      </c>
      <c r="O232" t="s">
        <v>107</v>
      </c>
      <c r="P232" s="7" t="str">
        <f t="shared" si="18"/>
        <v>-</v>
      </c>
      <c r="Q232" s="7" t="str">
        <f t="shared" si="19"/>
        <v>-</v>
      </c>
      <c r="R232" s="7" t="str">
        <f t="shared" si="36"/>
        <v>-</v>
      </c>
      <c r="S232" s="5" t="str">
        <f t="shared" si="37"/>
        <v>-</v>
      </c>
      <c r="T232" s="5" t="str">
        <f t="shared" si="38"/>
        <v>-</v>
      </c>
      <c r="U232" s="5" t="str">
        <f t="shared" si="39"/>
        <v>-</v>
      </c>
    </row>
    <row r="233" spans="1:21" x14ac:dyDescent="0.2">
      <c r="A233" s="5">
        <v>119</v>
      </c>
      <c r="B233" s="11" t="s">
        <v>840</v>
      </c>
      <c r="C233" s="9" t="s">
        <v>597</v>
      </c>
      <c r="D233" s="9" t="s">
        <v>595</v>
      </c>
      <c r="E233" s="9" t="s">
        <v>596</v>
      </c>
      <c r="F233" s="5">
        <v>21</v>
      </c>
      <c r="G233" s="5">
        <v>6</v>
      </c>
      <c r="H233" s="5">
        <v>36</v>
      </c>
      <c r="I233" s="5" t="s">
        <v>131</v>
      </c>
      <c r="J233" s="5">
        <v>55</v>
      </c>
      <c r="K233" s="5">
        <v>15</v>
      </c>
      <c r="L233" s="5">
        <v>35</v>
      </c>
      <c r="M233" s="5" t="s">
        <v>133</v>
      </c>
      <c r="N233" s="37" t="s">
        <v>1210</v>
      </c>
      <c r="O233" t="s">
        <v>107</v>
      </c>
      <c r="P233" s="7">
        <f t="shared" si="18"/>
        <v>-21.110000000000003</v>
      </c>
      <c r="Q233" s="7">
        <f t="shared" si="19"/>
        <v>55.259722222222223</v>
      </c>
      <c r="R233" s="7" t="str">
        <f t="shared" si="36"/>
        <v>21º06′36″ S</v>
      </c>
      <c r="S233" s="5" t="str">
        <f t="shared" si="37"/>
        <v>055º15′35″ E</v>
      </c>
      <c r="T233" s="5" t="str">
        <f t="shared" si="38"/>
        <v>21º06.60′S</v>
      </c>
      <c r="U233" s="5" t="str">
        <f t="shared" si="39"/>
        <v>055º15.58′E</v>
      </c>
    </row>
    <row r="234" spans="1:21" x14ac:dyDescent="0.2">
      <c r="A234" s="5">
        <v>5</v>
      </c>
      <c r="B234" s="11" t="s">
        <v>840</v>
      </c>
      <c r="C234" s="9" t="s">
        <v>170</v>
      </c>
      <c r="D234" s="9" t="s">
        <v>107</v>
      </c>
      <c r="E234" s="9" t="s">
        <v>107</v>
      </c>
      <c r="F234" s="5" t="s">
        <v>107</v>
      </c>
      <c r="G234" s="5" t="s">
        <v>107</v>
      </c>
      <c r="H234" s="5" t="s">
        <v>107</v>
      </c>
      <c r="I234" s="5" t="s">
        <v>107</v>
      </c>
      <c r="J234" s="5" t="s">
        <v>107</v>
      </c>
      <c r="K234" s="5" t="s">
        <v>107</v>
      </c>
      <c r="L234" s="5" t="s">
        <v>107</v>
      </c>
      <c r="M234" s="5" t="s">
        <v>107</v>
      </c>
      <c r="N234" s="45" t="s">
        <v>107</v>
      </c>
      <c r="O234" t="s">
        <v>107</v>
      </c>
      <c r="P234" s="7" t="str">
        <f t="shared" si="18"/>
        <v>-</v>
      </c>
      <c r="Q234" s="7" t="str">
        <f t="shared" si="19"/>
        <v>-</v>
      </c>
      <c r="R234" s="7" t="str">
        <f t="shared" si="36"/>
        <v>-</v>
      </c>
      <c r="S234" s="5" t="str">
        <f t="shared" si="37"/>
        <v>-</v>
      </c>
      <c r="T234" s="5" t="str">
        <f t="shared" si="38"/>
        <v>-</v>
      </c>
      <c r="U234" s="5" t="str">
        <f t="shared" si="39"/>
        <v>-</v>
      </c>
    </row>
    <row r="235" spans="1:21" x14ac:dyDescent="0.2">
      <c r="A235" s="5">
        <v>252</v>
      </c>
      <c r="B235" s="11" t="s">
        <v>840</v>
      </c>
      <c r="C235" s="9" t="s">
        <v>229</v>
      </c>
      <c r="D235" s="9" t="s">
        <v>107</v>
      </c>
      <c r="E235" s="9" t="s">
        <v>107</v>
      </c>
      <c r="F235" s="5" t="s">
        <v>107</v>
      </c>
      <c r="G235" s="5" t="s">
        <v>107</v>
      </c>
      <c r="H235" s="5" t="s">
        <v>107</v>
      </c>
      <c r="I235" s="5" t="s">
        <v>107</v>
      </c>
      <c r="J235" s="5" t="s">
        <v>107</v>
      </c>
      <c r="K235" s="5" t="s">
        <v>107</v>
      </c>
      <c r="L235" s="5" t="s">
        <v>107</v>
      </c>
      <c r="M235" s="5" t="s">
        <v>107</v>
      </c>
      <c r="N235" s="43" t="s">
        <v>107</v>
      </c>
      <c r="O235" t="s">
        <v>107</v>
      </c>
      <c r="P235" s="7" t="str">
        <f t="shared" si="18"/>
        <v>-</v>
      </c>
      <c r="Q235" s="7" t="str">
        <f t="shared" si="19"/>
        <v>-</v>
      </c>
      <c r="R235" s="7" t="str">
        <f t="shared" si="36"/>
        <v>-</v>
      </c>
      <c r="S235" s="5" t="str">
        <f t="shared" si="37"/>
        <v>-</v>
      </c>
      <c r="T235" s="5" t="str">
        <f t="shared" si="38"/>
        <v>-</v>
      </c>
      <c r="U235" s="5" t="str">
        <f t="shared" si="39"/>
        <v>-</v>
      </c>
    </row>
    <row r="236" spans="1:21" x14ac:dyDescent="0.2">
      <c r="A236" s="5">
        <v>15</v>
      </c>
      <c r="B236" s="11" t="s">
        <v>840</v>
      </c>
      <c r="C236" s="9" t="s">
        <v>229</v>
      </c>
      <c r="D236" s="9" t="s">
        <v>230</v>
      </c>
      <c r="E236" s="9" t="s">
        <v>231</v>
      </c>
      <c r="F236" s="5">
        <v>6</v>
      </c>
      <c r="G236" s="5">
        <v>53</v>
      </c>
      <c r="H236" s="5">
        <v>0</v>
      </c>
      <c r="I236" s="5" t="s">
        <v>131</v>
      </c>
      <c r="J236" s="5">
        <v>39</v>
      </c>
      <c r="K236" s="5">
        <v>5</v>
      </c>
      <c r="L236" s="5">
        <v>0</v>
      </c>
      <c r="M236" s="5" t="s">
        <v>133</v>
      </c>
      <c r="N236" s="37" t="s">
        <v>1179</v>
      </c>
      <c r="O236" t="s">
        <v>107</v>
      </c>
      <c r="P236" s="7">
        <f t="shared" si="18"/>
        <v>-6.8833333333333329</v>
      </c>
      <c r="Q236" s="7">
        <f t="shared" si="19"/>
        <v>39.083333333333336</v>
      </c>
      <c r="R236" s="7" t="str">
        <f t="shared" si="36"/>
        <v>06º53′00″ S</v>
      </c>
      <c r="S236" s="5" t="str">
        <f t="shared" si="37"/>
        <v>039º05′00″ E</v>
      </c>
      <c r="T236" s="5" t="str">
        <f t="shared" si="38"/>
        <v>06º53.00′S</v>
      </c>
      <c r="U236" s="5" t="str">
        <f t="shared" si="39"/>
        <v>039º05.00′E</v>
      </c>
    </row>
    <row r="237" spans="1:21" x14ac:dyDescent="0.2">
      <c r="A237" s="5">
        <v>257</v>
      </c>
      <c r="B237" s="11" t="s">
        <v>840</v>
      </c>
      <c r="C237" s="9" t="s">
        <v>893</v>
      </c>
      <c r="D237" s="9" t="s">
        <v>107</v>
      </c>
      <c r="E237" s="9" t="s">
        <v>107</v>
      </c>
      <c r="F237" s="5" t="s">
        <v>107</v>
      </c>
      <c r="G237" s="5" t="s">
        <v>107</v>
      </c>
      <c r="H237" s="5" t="s">
        <v>107</v>
      </c>
      <c r="I237" s="5" t="s">
        <v>107</v>
      </c>
      <c r="J237" s="5" t="s">
        <v>107</v>
      </c>
      <c r="K237" s="5" t="s">
        <v>107</v>
      </c>
      <c r="L237" s="5" t="s">
        <v>107</v>
      </c>
      <c r="M237" s="5" t="s">
        <v>107</v>
      </c>
      <c r="N237" s="43" t="s">
        <v>107</v>
      </c>
      <c r="O237" t="s">
        <v>107</v>
      </c>
      <c r="P237" s="7" t="str">
        <f t="shared" si="18"/>
        <v>-</v>
      </c>
      <c r="Q237" s="7" t="str">
        <f t="shared" si="19"/>
        <v>-</v>
      </c>
      <c r="R237" s="7" t="str">
        <f t="shared" si="36"/>
        <v>-</v>
      </c>
      <c r="S237" s="5" t="str">
        <f t="shared" si="37"/>
        <v>-</v>
      </c>
      <c r="T237" s="5" t="str">
        <f t="shared" si="38"/>
        <v>-</v>
      </c>
      <c r="U237" s="5" t="str">
        <f t="shared" si="39"/>
        <v>-</v>
      </c>
    </row>
    <row r="238" spans="1:21" x14ac:dyDescent="0.2">
      <c r="A238" s="5">
        <v>226</v>
      </c>
      <c r="B238" s="11" t="s">
        <v>835</v>
      </c>
      <c r="C238" s="9" t="s">
        <v>916</v>
      </c>
      <c r="D238" s="9" t="s">
        <v>107</v>
      </c>
      <c r="E238" s="9" t="s">
        <v>107</v>
      </c>
      <c r="F238" s="5" t="s">
        <v>107</v>
      </c>
      <c r="G238" s="5" t="s">
        <v>107</v>
      </c>
      <c r="H238" s="5" t="s">
        <v>107</v>
      </c>
      <c r="I238" s="5" t="s">
        <v>107</v>
      </c>
      <c r="J238" s="5" t="s">
        <v>107</v>
      </c>
      <c r="K238" s="5" t="s">
        <v>107</v>
      </c>
      <c r="L238" s="5" t="s">
        <v>107</v>
      </c>
      <c r="M238" s="5" t="s">
        <v>107</v>
      </c>
      <c r="N238" s="43" t="s">
        <v>107</v>
      </c>
      <c r="O238" t="s">
        <v>107</v>
      </c>
      <c r="P238" s="7" t="str">
        <f t="shared" si="18"/>
        <v>-</v>
      </c>
      <c r="Q238" s="7" t="str">
        <f t="shared" si="19"/>
        <v>-</v>
      </c>
      <c r="R238" s="7" t="str">
        <f t="shared" si="36"/>
        <v>-</v>
      </c>
      <c r="S238" s="5" t="str">
        <f t="shared" si="37"/>
        <v>-</v>
      </c>
      <c r="T238" s="5" t="str">
        <f t="shared" si="38"/>
        <v>-</v>
      </c>
      <c r="U238" s="5" t="str">
        <f t="shared" si="39"/>
        <v>-</v>
      </c>
    </row>
    <row r="239" spans="1:21" x14ac:dyDescent="0.2">
      <c r="A239" s="5">
        <v>1</v>
      </c>
      <c r="B239" s="11" t="s">
        <v>835</v>
      </c>
      <c r="C239" t="s">
        <v>128</v>
      </c>
      <c r="D239" t="s">
        <v>107</v>
      </c>
      <c r="E239" t="s">
        <v>107</v>
      </c>
      <c r="F239" s="5" t="s">
        <v>107</v>
      </c>
      <c r="G239" s="5" t="s">
        <v>107</v>
      </c>
      <c r="H239" s="5" t="s">
        <v>107</v>
      </c>
      <c r="I239" s="5" t="s">
        <v>107</v>
      </c>
      <c r="J239" s="5" t="s">
        <v>107</v>
      </c>
      <c r="K239" s="5" t="s">
        <v>107</v>
      </c>
      <c r="L239" s="5" t="s">
        <v>107</v>
      </c>
      <c r="M239" s="5" t="s">
        <v>107</v>
      </c>
      <c r="N239" s="45" t="s">
        <v>107</v>
      </c>
      <c r="O239" t="s">
        <v>107</v>
      </c>
      <c r="P239" s="7" t="str">
        <f t="shared" si="18"/>
        <v>-</v>
      </c>
      <c r="Q239" s="7" t="str">
        <f t="shared" si="19"/>
        <v>-</v>
      </c>
      <c r="R239" s="7" t="str">
        <f t="shared" si="36"/>
        <v>-</v>
      </c>
      <c r="S239" s="5" t="str">
        <f t="shared" si="37"/>
        <v>-</v>
      </c>
      <c r="T239" s="5" t="str">
        <f t="shared" si="38"/>
        <v>-</v>
      </c>
      <c r="U239" s="5" t="str">
        <f t="shared" si="39"/>
        <v>-</v>
      </c>
    </row>
    <row r="240" spans="1:21" x14ac:dyDescent="0.2">
      <c r="A240" s="5">
        <v>13</v>
      </c>
      <c r="B240" s="11" t="s">
        <v>835</v>
      </c>
      <c r="C240" s="9" t="s">
        <v>128</v>
      </c>
      <c r="D240" s="9" t="s">
        <v>215</v>
      </c>
      <c r="E240" s="9" t="s">
        <v>216</v>
      </c>
      <c r="F240" s="5">
        <v>7</v>
      </c>
      <c r="G240" s="5">
        <v>56</v>
      </c>
      <c r="H240" s="5">
        <v>0</v>
      </c>
      <c r="I240" s="5" t="s">
        <v>132</v>
      </c>
      <c r="J240" s="5">
        <v>93</v>
      </c>
      <c r="K240" s="5">
        <v>22</v>
      </c>
      <c r="L240" s="5">
        <v>0</v>
      </c>
      <c r="M240" s="5" t="s">
        <v>133</v>
      </c>
      <c r="N240" s="46" t="s">
        <v>1177</v>
      </c>
      <c r="O240" t="s">
        <v>107</v>
      </c>
      <c r="P240" s="7">
        <f t="shared" si="18"/>
        <v>7.9333333333333336</v>
      </c>
      <c r="Q240" s="7">
        <f t="shared" si="19"/>
        <v>93.36666666666666</v>
      </c>
      <c r="R240" s="7" t="str">
        <f t="shared" si="36"/>
        <v>07º56′00″ N</v>
      </c>
      <c r="S240" s="5" t="str">
        <f t="shared" si="37"/>
        <v>093º22′00″ E</v>
      </c>
      <c r="T240" s="5" t="str">
        <f t="shared" si="38"/>
        <v>07º56.00′N</v>
      </c>
      <c r="U240" s="5" t="str">
        <f t="shared" si="39"/>
        <v>093º22.00′E</v>
      </c>
    </row>
    <row r="241" spans="1:21" x14ac:dyDescent="0.2">
      <c r="A241" s="5">
        <v>18</v>
      </c>
      <c r="B241" s="11" t="s">
        <v>835</v>
      </c>
      <c r="C241" s="9" t="s">
        <v>128</v>
      </c>
      <c r="D241" s="9" t="s">
        <v>247</v>
      </c>
      <c r="E241" s="9" t="s">
        <v>248</v>
      </c>
      <c r="F241" s="5">
        <v>22</v>
      </c>
      <c r="G241" s="5">
        <v>24</v>
      </c>
      <c r="H241" s="5">
        <v>22.95</v>
      </c>
      <c r="I241" s="5" t="s">
        <v>132</v>
      </c>
      <c r="J241" s="5">
        <v>73</v>
      </c>
      <c r="K241" s="5">
        <v>37</v>
      </c>
      <c r="L241" s="5">
        <v>5.24</v>
      </c>
      <c r="M241" s="5" t="s">
        <v>133</v>
      </c>
      <c r="N241" s="39" t="s">
        <v>1181</v>
      </c>
      <c r="O241" t="s">
        <v>107</v>
      </c>
      <c r="P241" s="7">
        <f t="shared" si="18"/>
        <v>22.406374999999997</v>
      </c>
      <c r="Q241" s="7">
        <f t="shared" si="19"/>
        <v>73.618122222222212</v>
      </c>
      <c r="R241" s="7" t="str">
        <f t="shared" si="36"/>
        <v>22º24′23″ N</v>
      </c>
      <c r="S241" s="5" t="str">
        <f t="shared" si="37"/>
        <v>073º37′05″ E</v>
      </c>
      <c r="T241" s="5" t="str">
        <f t="shared" si="38"/>
        <v>22º24.38′N</v>
      </c>
      <c r="U241" s="5" t="str">
        <f t="shared" si="39"/>
        <v>073º37.09′E</v>
      </c>
    </row>
    <row r="242" spans="1:21" x14ac:dyDescent="0.2">
      <c r="A242" s="5">
        <v>16</v>
      </c>
      <c r="B242" s="11" t="s">
        <v>835</v>
      </c>
      <c r="C242" s="9" t="s">
        <v>128</v>
      </c>
      <c r="D242" s="9" t="s">
        <v>237</v>
      </c>
      <c r="E242" s="9" t="s">
        <v>238</v>
      </c>
      <c r="F242" s="5">
        <v>23</v>
      </c>
      <c r="G242" s="5">
        <v>10</v>
      </c>
      <c r="H242" s="5">
        <v>0</v>
      </c>
      <c r="I242" s="5" t="s">
        <v>132</v>
      </c>
      <c r="J242" s="5">
        <v>79</v>
      </c>
      <c r="K242" s="5">
        <v>56</v>
      </c>
      <c r="L242" s="5">
        <v>0</v>
      </c>
      <c r="M242" s="5" t="s">
        <v>133</v>
      </c>
      <c r="N242" s="45" t="s">
        <v>163</v>
      </c>
      <c r="O242" t="s">
        <v>107</v>
      </c>
      <c r="P242" s="7">
        <f t="shared" si="18"/>
        <v>23.166666666666668</v>
      </c>
      <c r="Q242" s="7">
        <f t="shared" si="19"/>
        <v>79.933333333333337</v>
      </c>
      <c r="R242" s="7" t="str">
        <f t="shared" si="36"/>
        <v>23º10′00″ N</v>
      </c>
      <c r="S242" s="5" t="str">
        <f t="shared" si="37"/>
        <v>079º56′00″ E</v>
      </c>
      <c r="T242" s="5" t="str">
        <f t="shared" si="38"/>
        <v>23º10.00′N</v>
      </c>
      <c r="U242" s="5" t="str">
        <f t="shared" si="39"/>
        <v>079º56.00′E</v>
      </c>
    </row>
    <row r="243" spans="1:21" x14ac:dyDescent="0.2">
      <c r="A243" s="5">
        <v>17</v>
      </c>
      <c r="B243" s="11" t="s">
        <v>835</v>
      </c>
      <c r="C243" s="9" t="s">
        <v>128</v>
      </c>
      <c r="D243" s="9" t="s">
        <v>243</v>
      </c>
      <c r="E243" s="9" t="s">
        <v>244</v>
      </c>
      <c r="F243" s="5">
        <v>26</v>
      </c>
      <c r="G243" s="5">
        <v>16</v>
      </c>
      <c r="H243" s="5">
        <v>55.14</v>
      </c>
      <c r="I243" s="5" t="s">
        <v>132</v>
      </c>
      <c r="J243" s="5">
        <v>73</v>
      </c>
      <c r="K243" s="5">
        <v>1</v>
      </c>
      <c r="L243" s="5">
        <v>19.809999999999999</v>
      </c>
      <c r="M243" s="5" t="s">
        <v>133</v>
      </c>
      <c r="N243" s="45" t="s">
        <v>163</v>
      </c>
      <c r="O243" t="s">
        <v>107</v>
      </c>
      <c r="P243" s="7">
        <f t="shared" si="18"/>
        <v>26.281983333333333</v>
      </c>
      <c r="Q243" s="7">
        <f t="shared" si="19"/>
        <v>73.022169444444444</v>
      </c>
      <c r="R243" s="7" t="str">
        <f t="shared" si="36"/>
        <v>26º16′55″ N</v>
      </c>
      <c r="S243" s="5" t="str">
        <f t="shared" si="37"/>
        <v>073º01′20″ E</v>
      </c>
      <c r="T243" s="5" t="str">
        <f t="shared" si="38"/>
        <v>26º16.92′N</v>
      </c>
      <c r="U243" s="5" t="str">
        <f t="shared" si="39"/>
        <v>073º01.33′E</v>
      </c>
    </row>
    <row r="244" spans="1:21" x14ac:dyDescent="0.2">
      <c r="A244" s="5">
        <v>196</v>
      </c>
      <c r="B244" s="11" t="s">
        <v>835</v>
      </c>
      <c r="C244" s="9" t="s">
        <v>807</v>
      </c>
      <c r="D244" s="9" t="s">
        <v>808</v>
      </c>
      <c r="E244" s="9" t="s">
        <v>809</v>
      </c>
      <c r="F244" s="5">
        <v>1</v>
      </c>
      <c r="G244" s="5">
        <v>43</v>
      </c>
      <c r="H244" s="5">
        <v>0</v>
      </c>
      <c r="I244" s="5" t="s">
        <v>132</v>
      </c>
      <c r="J244" s="5">
        <v>110</v>
      </c>
      <c r="K244" s="5">
        <v>28</v>
      </c>
      <c r="L244" s="5">
        <v>0</v>
      </c>
      <c r="M244" s="5" t="s">
        <v>133</v>
      </c>
      <c r="N244" s="38" t="s">
        <v>1259</v>
      </c>
      <c r="O244" t="s">
        <v>107</v>
      </c>
      <c r="P244" s="7">
        <f t="shared" si="18"/>
        <v>1.7166666666666668</v>
      </c>
      <c r="Q244" s="7">
        <f t="shared" si="19"/>
        <v>110.46666666666667</v>
      </c>
      <c r="R244" s="7" t="str">
        <f t="shared" si="36"/>
        <v>01º43′00″ N</v>
      </c>
      <c r="S244" s="5" t="str">
        <f t="shared" si="37"/>
        <v>110º28′00″ E</v>
      </c>
      <c r="T244" s="5" t="str">
        <f t="shared" si="38"/>
        <v>01º43.00′N</v>
      </c>
      <c r="U244" s="5" t="str">
        <f t="shared" si="39"/>
        <v>110º28.00′E</v>
      </c>
    </row>
    <row r="245" spans="1:21" x14ac:dyDescent="0.2">
      <c r="A245" s="5">
        <v>243</v>
      </c>
      <c r="B245" s="11" t="s">
        <v>835</v>
      </c>
      <c r="C245" s="9" t="s">
        <v>590</v>
      </c>
      <c r="D245" s="9" t="s">
        <v>107</v>
      </c>
      <c r="E245" s="9" t="s">
        <v>107</v>
      </c>
      <c r="F245" s="5" t="s">
        <v>107</v>
      </c>
      <c r="G245" s="5" t="s">
        <v>107</v>
      </c>
      <c r="H245" s="5" t="s">
        <v>107</v>
      </c>
      <c r="I245" s="5" t="s">
        <v>107</v>
      </c>
      <c r="J245" s="5" t="s">
        <v>107</v>
      </c>
      <c r="K245" s="5" t="s">
        <v>107</v>
      </c>
      <c r="L245" s="5" t="s">
        <v>107</v>
      </c>
      <c r="M245" s="5" t="s">
        <v>107</v>
      </c>
      <c r="N245" s="43" t="s">
        <v>107</v>
      </c>
      <c r="O245" t="s">
        <v>107</v>
      </c>
      <c r="P245" s="7" t="str">
        <f t="shared" si="18"/>
        <v>-</v>
      </c>
      <c r="Q245" s="7" t="str">
        <f t="shared" si="19"/>
        <v>-</v>
      </c>
      <c r="R245" s="7" t="str">
        <f t="shared" si="36"/>
        <v>-</v>
      </c>
      <c r="S245" s="5" t="str">
        <f t="shared" si="37"/>
        <v>-</v>
      </c>
      <c r="T245" s="5" t="str">
        <f t="shared" si="38"/>
        <v>-</v>
      </c>
      <c r="U245" s="5" t="str">
        <f t="shared" si="39"/>
        <v>-</v>
      </c>
    </row>
    <row r="246" spans="1:21" x14ac:dyDescent="0.2">
      <c r="A246" s="5">
        <v>118</v>
      </c>
      <c r="B246" s="11" t="s">
        <v>835</v>
      </c>
      <c r="C246" s="9" t="s">
        <v>590</v>
      </c>
      <c r="D246" s="9" t="s">
        <v>591</v>
      </c>
      <c r="E246" s="9" t="s">
        <v>592</v>
      </c>
      <c r="F246" s="5">
        <v>5</v>
      </c>
      <c r="G246" s="5">
        <v>50</v>
      </c>
      <c r="H246" s="5">
        <v>22</v>
      </c>
      <c r="I246" s="5" t="s">
        <v>132</v>
      </c>
      <c r="J246" s="5">
        <v>118</v>
      </c>
      <c r="K246" s="5">
        <v>7</v>
      </c>
      <c r="L246" s="5">
        <v>1</v>
      </c>
      <c r="M246" s="5" t="s">
        <v>133</v>
      </c>
      <c r="N246" s="43" t="s">
        <v>163</v>
      </c>
      <c r="O246" t="s">
        <v>107</v>
      </c>
      <c r="P246" s="7">
        <f t="shared" si="18"/>
        <v>5.8394444444444442</v>
      </c>
      <c r="Q246" s="7">
        <f t="shared" si="19"/>
        <v>118.11694444444444</v>
      </c>
      <c r="R246" s="7" t="str">
        <f t="shared" si="36"/>
        <v>05º50′22″ N</v>
      </c>
      <c r="S246" s="5" t="str">
        <f t="shared" si="37"/>
        <v>118º07′01″ E</v>
      </c>
      <c r="T246" s="5" t="str">
        <f t="shared" si="38"/>
        <v>05º50.37′N</v>
      </c>
      <c r="U246" s="5" t="str">
        <f t="shared" si="39"/>
        <v>118º07.02′E</v>
      </c>
    </row>
    <row r="247" spans="1:21" x14ac:dyDescent="0.2">
      <c r="A247" s="5">
        <v>250</v>
      </c>
      <c r="B247" s="11" t="s">
        <v>835</v>
      </c>
      <c r="C247" s="9" t="s">
        <v>958</v>
      </c>
      <c r="D247" s="9" t="s">
        <v>107</v>
      </c>
      <c r="E247" s="9" t="s">
        <v>107</v>
      </c>
      <c r="F247" s="5" t="s">
        <v>107</v>
      </c>
      <c r="G247" s="5" t="s">
        <v>107</v>
      </c>
      <c r="H247" s="5" t="s">
        <v>107</v>
      </c>
      <c r="I247" s="5" t="s">
        <v>107</v>
      </c>
      <c r="J247" s="5" t="s">
        <v>107</v>
      </c>
      <c r="K247" s="5" t="s">
        <v>107</v>
      </c>
      <c r="L247" s="5" t="s">
        <v>107</v>
      </c>
      <c r="M247" s="5" t="s">
        <v>107</v>
      </c>
      <c r="N247" s="43" t="s">
        <v>107</v>
      </c>
      <c r="O247" t="s">
        <v>107</v>
      </c>
      <c r="P247" s="7" t="str">
        <f t="shared" si="18"/>
        <v>-</v>
      </c>
      <c r="Q247" s="7" t="str">
        <f t="shared" si="19"/>
        <v>-</v>
      </c>
      <c r="R247" s="7" t="str">
        <f t="shared" si="36"/>
        <v>-</v>
      </c>
      <c r="S247" s="5" t="str">
        <f t="shared" si="37"/>
        <v>-</v>
      </c>
      <c r="T247" s="5" t="str">
        <f t="shared" si="38"/>
        <v>-</v>
      </c>
      <c r="U247" s="5" t="str">
        <f t="shared" si="39"/>
        <v>-</v>
      </c>
    </row>
    <row r="248" spans="1:21" x14ac:dyDescent="0.2">
      <c r="A248" s="5">
        <v>251</v>
      </c>
      <c r="B248" s="11" t="s">
        <v>835</v>
      </c>
      <c r="C248" s="9" t="s">
        <v>206</v>
      </c>
      <c r="D248" s="9" t="s">
        <v>107</v>
      </c>
      <c r="E248" s="9" t="s">
        <v>107</v>
      </c>
      <c r="F248" s="5" t="s">
        <v>107</v>
      </c>
      <c r="G248" s="5" t="s">
        <v>107</v>
      </c>
      <c r="H248" s="5" t="s">
        <v>107</v>
      </c>
      <c r="I248" s="5" t="s">
        <v>107</v>
      </c>
      <c r="J248" s="5" t="s">
        <v>107</v>
      </c>
      <c r="K248" s="5" t="s">
        <v>107</v>
      </c>
      <c r="L248" s="5" t="s">
        <v>107</v>
      </c>
      <c r="M248" s="5" t="s">
        <v>107</v>
      </c>
      <c r="N248" s="43" t="s">
        <v>107</v>
      </c>
      <c r="O248" t="s">
        <v>107</v>
      </c>
      <c r="P248" s="7" t="str">
        <f t="shared" si="18"/>
        <v>-</v>
      </c>
      <c r="Q248" s="7" t="str">
        <f t="shared" si="19"/>
        <v>-</v>
      </c>
      <c r="R248" s="7" t="str">
        <f t="shared" si="36"/>
        <v>-</v>
      </c>
      <c r="S248" s="5" t="str">
        <f t="shared" si="37"/>
        <v>-</v>
      </c>
      <c r="T248" s="5" t="str">
        <f t="shared" si="38"/>
        <v>-</v>
      </c>
      <c r="U248" s="5" t="str">
        <f t="shared" si="39"/>
        <v>-</v>
      </c>
    </row>
    <row r="249" spans="1:21" x14ac:dyDescent="0.2">
      <c r="A249" s="5">
        <v>94</v>
      </c>
      <c r="B249" s="11" t="s">
        <v>835</v>
      </c>
      <c r="C249" s="9" t="s">
        <v>206</v>
      </c>
      <c r="D249" s="9" t="s">
        <v>514</v>
      </c>
      <c r="E249" s="9" t="s">
        <v>515</v>
      </c>
      <c r="F249" s="5">
        <v>23</v>
      </c>
      <c r="G249" s="5">
        <v>49</v>
      </c>
      <c r="H249" s="5">
        <v>0</v>
      </c>
      <c r="I249" s="5" t="s">
        <v>132</v>
      </c>
      <c r="J249" s="5">
        <v>120</v>
      </c>
      <c r="K249" s="5">
        <v>36</v>
      </c>
      <c r="L249" s="5">
        <v>0</v>
      </c>
      <c r="M249" s="5" t="s">
        <v>133</v>
      </c>
      <c r="N249" s="39" t="s">
        <v>1218</v>
      </c>
      <c r="O249" t="s">
        <v>107</v>
      </c>
      <c r="P249" s="7">
        <f t="shared" si="18"/>
        <v>23.816666666666666</v>
      </c>
      <c r="Q249" s="7">
        <f t="shared" si="19"/>
        <v>120.6</v>
      </c>
      <c r="R249" s="7" t="str">
        <f t="shared" si="36"/>
        <v>23º49′00″ N</v>
      </c>
      <c r="S249" s="5" t="str">
        <f t="shared" si="37"/>
        <v>120º36′00″ E</v>
      </c>
      <c r="T249" s="5" t="str">
        <f t="shared" si="38"/>
        <v>23º49.00′N</v>
      </c>
      <c r="U249" s="5" t="str">
        <f t="shared" si="39"/>
        <v>120º36.00′E</v>
      </c>
    </row>
    <row r="250" spans="1:21" x14ac:dyDescent="0.2">
      <c r="A250" s="5">
        <v>12</v>
      </c>
      <c r="B250" s="11" t="s">
        <v>835</v>
      </c>
      <c r="C250" s="9" t="s">
        <v>206</v>
      </c>
      <c r="D250" s="9" t="s">
        <v>207</v>
      </c>
      <c r="E250" s="9" t="s">
        <v>208</v>
      </c>
      <c r="F250" s="5">
        <v>21</v>
      </c>
      <c r="G250" s="5">
        <v>56</v>
      </c>
      <c r="H250" s="5">
        <v>0</v>
      </c>
      <c r="I250" s="5" t="s">
        <v>132</v>
      </c>
      <c r="J250" s="5">
        <v>120</v>
      </c>
      <c r="K250" s="5">
        <v>46</v>
      </c>
      <c r="L250" s="5">
        <v>0</v>
      </c>
      <c r="M250" s="5" t="s">
        <v>133</v>
      </c>
      <c r="N250" s="46" t="s">
        <v>1218</v>
      </c>
      <c r="O250" t="s">
        <v>107</v>
      </c>
      <c r="P250" s="7">
        <f t="shared" si="18"/>
        <v>21.933333333333334</v>
      </c>
      <c r="Q250" s="7">
        <f t="shared" si="19"/>
        <v>120.76666666666667</v>
      </c>
      <c r="R250" s="7" t="str">
        <f t="shared" si="36"/>
        <v>21º56′00″ N</v>
      </c>
      <c r="S250" s="5" t="str">
        <f t="shared" si="37"/>
        <v>120º46′00″ E</v>
      </c>
      <c r="T250" s="5" t="str">
        <f t="shared" si="38"/>
        <v>21º56.00′N</v>
      </c>
      <c r="U250" s="5" t="str">
        <f t="shared" si="39"/>
        <v>120º46.00′E</v>
      </c>
    </row>
    <row r="251" spans="1:21" x14ac:dyDescent="0.2">
      <c r="A251" s="5">
        <v>19</v>
      </c>
      <c r="B251" s="11" t="s">
        <v>837</v>
      </c>
      <c r="C251" s="9" t="s">
        <v>250</v>
      </c>
      <c r="D251" s="9" t="s">
        <v>107</v>
      </c>
      <c r="E251" s="9" t="s">
        <v>107</v>
      </c>
      <c r="F251" s="5" t="s">
        <v>107</v>
      </c>
      <c r="G251" s="5" t="s">
        <v>107</v>
      </c>
      <c r="H251" s="5" t="s">
        <v>107</v>
      </c>
      <c r="I251" s="5" t="s">
        <v>107</v>
      </c>
      <c r="J251" s="5" t="s">
        <v>107</v>
      </c>
      <c r="K251" s="5" t="s">
        <v>107</v>
      </c>
      <c r="L251" s="5" t="s">
        <v>107</v>
      </c>
      <c r="M251" s="5" t="s">
        <v>107</v>
      </c>
      <c r="N251" s="45" t="s">
        <v>107</v>
      </c>
      <c r="O251" t="s">
        <v>107</v>
      </c>
      <c r="P251" s="7" t="str">
        <f t="shared" si="18"/>
        <v>-</v>
      </c>
      <c r="Q251" s="7" t="str">
        <f t="shared" si="19"/>
        <v>-</v>
      </c>
      <c r="R251" s="7" t="str">
        <f t="shared" si="36"/>
        <v>-</v>
      </c>
      <c r="S251" s="5" t="str">
        <f t="shared" si="37"/>
        <v>-</v>
      </c>
      <c r="T251" s="5" t="str">
        <f t="shared" si="38"/>
        <v>-</v>
      </c>
      <c r="U251" s="5" t="str">
        <f t="shared" si="39"/>
        <v>-</v>
      </c>
    </row>
    <row r="252" spans="1:21" x14ac:dyDescent="0.2">
      <c r="A252" s="5">
        <v>20</v>
      </c>
      <c r="B252" s="11" t="s">
        <v>837</v>
      </c>
      <c r="C252" s="9" t="s">
        <v>250</v>
      </c>
      <c r="D252" s="9" t="s">
        <v>254</v>
      </c>
      <c r="E252" s="9" t="s">
        <v>253</v>
      </c>
      <c r="F252" s="5">
        <v>12</v>
      </c>
      <c r="G252" s="5">
        <v>51</v>
      </c>
      <c r="H252" s="5">
        <v>42</v>
      </c>
      <c r="I252" s="5" t="s">
        <v>131</v>
      </c>
      <c r="J252" s="5">
        <v>132</v>
      </c>
      <c r="K252" s="5">
        <v>48</v>
      </c>
      <c r="L252" s="5">
        <v>45</v>
      </c>
      <c r="M252" s="5" t="s">
        <v>133</v>
      </c>
      <c r="N252" s="45" t="s">
        <v>163</v>
      </c>
      <c r="O252" t="s">
        <v>107</v>
      </c>
      <c r="P252" s="7">
        <f t="shared" si="18"/>
        <v>-12.861666666666666</v>
      </c>
      <c r="Q252" s="7">
        <f t="shared" si="19"/>
        <v>132.8125</v>
      </c>
      <c r="R252" s="7" t="str">
        <f t="shared" si="36"/>
        <v>12º51′42″ S</v>
      </c>
      <c r="S252" s="5" t="str">
        <f t="shared" si="37"/>
        <v>132º48′45″ E</v>
      </c>
      <c r="T252" s="5" t="str">
        <f t="shared" si="38"/>
        <v>12º51.70′S</v>
      </c>
      <c r="U252" s="5" t="str">
        <f t="shared" si="39"/>
        <v>132º48.75′E</v>
      </c>
    </row>
    <row r="253" spans="1:21" x14ac:dyDescent="0.2">
      <c r="A253" s="5">
        <v>220</v>
      </c>
      <c r="B253" s="11" t="s">
        <v>837</v>
      </c>
      <c r="C253" s="9" t="s">
        <v>250</v>
      </c>
      <c r="D253" s="9" t="s">
        <v>933</v>
      </c>
      <c r="E253" s="9" t="s">
        <v>934</v>
      </c>
      <c r="F253" s="5" t="s">
        <v>107</v>
      </c>
      <c r="G253" s="5" t="s">
        <v>107</v>
      </c>
      <c r="H253" s="5" t="s">
        <v>107</v>
      </c>
      <c r="I253" s="5" t="s">
        <v>107</v>
      </c>
      <c r="J253" s="5" t="s">
        <v>107</v>
      </c>
      <c r="K253" s="5" t="s">
        <v>107</v>
      </c>
      <c r="L253" s="5" t="s">
        <v>107</v>
      </c>
      <c r="M253" s="5" t="s">
        <v>107</v>
      </c>
      <c r="N253" s="43" t="s">
        <v>107</v>
      </c>
      <c r="O253" t="s">
        <v>107</v>
      </c>
      <c r="P253" s="7" t="str">
        <f t="shared" si="18"/>
        <v>-</v>
      </c>
      <c r="Q253" s="7" t="str">
        <f t="shared" si="19"/>
        <v>-</v>
      </c>
      <c r="R253" s="7" t="str">
        <f t="shared" si="36"/>
        <v>-</v>
      </c>
      <c r="S253" s="5" t="str">
        <f t="shared" si="37"/>
        <v>-</v>
      </c>
      <c r="T253" s="5" t="str">
        <f t="shared" si="38"/>
        <v>-</v>
      </c>
      <c r="U253" s="5" t="str">
        <f t="shared" si="39"/>
        <v>-</v>
      </c>
    </row>
    <row r="254" spans="1:21" x14ac:dyDescent="0.2">
      <c r="A254" s="5">
        <v>221</v>
      </c>
      <c r="B254" s="11" t="s">
        <v>837</v>
      </c>
      <c r="C254" s="9" t="s">
        <v>250</v>
      </c>
      <c r="D254" s="9" t="s">
        <v>512</v>
      </c>
      <c r="E254" s="9" t="s">
        <v>932</v>
      </c>
      <c r="F254" s="5">
        <v>38</v>
      </c>
      <c r="G254" s="5">
        <v>20</v>
      </c>
      <c r="H254" s="5">
        <v>0</v>
      </c>
      <c r="I254" s="5" t="s">
        <v>131</v>
      </c>
      <c r="J254" s="5">
        <v>142</v>
      </c>
      <c r="K254" s="5">
        <v>44</v>
      </c>
      <c r="L254" s="5">
        <v>0</v>
      </c>
      <c r="M254" s="5" t="s">
        <v>133</v>
      </c>
      <c r="N254" s="37" t="s">
        <v>1258</v>
      </c>
      <c r="O254" t="s">
        <v>107</v>
      </c>
      <c r="P254" s="7">
        <f t="shared" si="18"/>
        <v>-38.333333333333336</v>
      </c>
      <c r="Q254" s="7">
        <f t="shared" si="19"/>
        <v>142.73333333333332</v>
      </c>
      <c r="R254" s="7" t="str">
        <f t="shared" si="36"/>
        <v>38º20′00″ S</v>
      </c>
      <c r="S254" s="5" t="str">
        <f t="shared" si="37"/>
        <v>142º44′00″ E</v>
      </c>
      <c r="T254" s="5" t="str">
        <f t="shared" si="38"/>
        <v>38º20.00′S</v>
      </c>
      <c r="U254" s="5" t="str">
        <f t="shared" si="39"/>
        <v>142º44.00′E</v>
      </c>
    </row>
    <row r="255" spans="1:21" x14ac:dyDescent="0.2">
      <c r="A255" s="5">
        <v>93</v>
      </c>
      <c r="B255" s="11" t="s">
        <v>837</v>
      </c>
      <c r="C255" s="9" t="s">
        <v>250</v>
      </c>
      <c r="D255" s="9" t="s">
        <v>512</v>
      </c>
      <c r="E255" s="9" t="s">
        <v>513</v>
      </c>
      <c r="F255" s="5">
        <v>36</v>
      </c>
      <c r="G255" s="5">
        <v>48</v>
      </c>
      <c r="H255" s="5">
        <v>3</v>
      </c>
      <c r="I255" s="5" t="s">
        <v>131</v>
      </c>
      <c r="J255" s="5">
        <v>144</v>
      </c>
      <c r="K255" s="5">
        <v>20</v>
      </c>
      <c r="L255" s="5">
        <v>46</v>
      </c>
      <c r="M255" s="5" t="s">
        <v>138</v>
      </c>
      <c r="N255" s="45" t="s">
        <v>163</v>
      </c>
      <c r="O255" t="s">
        <v>107</v>
      </c>
      <c r="P255" s="7">
        <f t="shared" si="18"/>
        <v>-36.80083333333333</v>
      </c>
      <c r="Q255" s="7">
        <f t="shared" si="19"/>
        <v>-144.34611111111113</v>
      </c>
      <c r="R255" s="7" t="str">
        <f t="shared" si="36"/>
        <v>36º48′03″ S</v>
      </c>
      <c r="S255" s="5" t="str">
        <f t="shared" si="37"/>
        <v>144º20′46″ W</v>
      </c>
      <c r="T255" s="5" t="str">
        <f t="shared" si="38"/>
        <v>36º48.05′S</v>
      </c>
      <c r="U255" s="5" t="str">
        <f t="shared" si="39"/>
        <v>144º20.77′W</v>
      </c>
    </row>
    <row r="256" spans="1:21" x14ac:dyDescent="0.2">
      <c r="A256" s="5">
        <v>222</v>
      </c>
      <c r="B256" s="11" t="s">
        <v>837</v>
      </c>
      <c r="C256" s="9" t="s">
        <v>981</v>
      </c>
      <c r="D256" s="9" t="s">
        <v>107</v>
      </c>
      <c r="E256" s="9" t="s">
        <v>107</v>
      </c>
      <c r="F256" s="5" t="s">
        <v>107</v>
      </c>
      <c r="G256" s="5" t="s">
        <v>107</v>
      </c>
      <c r="H256" s="5" t="s">
        <v>107</v>
      </c>
      <c r="I256" s="5" t="s">
        <v>107</v>
      </c>
      <c r="J256" s="5" t="s">
        <v>107</v>
      </c>
      <c r="K256" s="5" t="s">
        <v>107</v>
      </c>
      <c r="L256" s="5" t="s">
        <v>107</v>
      </c>
      <c r="M256" s="5" t="s">
        <v>107</v>
      </c>
      <c r="N256" s="43" t="s">
        <v>107</v>
      </c>
      <c r="O256" t="s">
        <v>107</v>
      </c>
      <c r="P256" s="7" t="str">
        <f t="shared" si="18"/>
        <v>-</v>
      </c>
      <c r="Q256" s="7" t="str">
        <f t="shared" si="19"/>
        <v>-</v>
      </c>
      <c r="R256" s="7" t="str">
        <f t="shared" si="36"/>
        <v>-</v>
      </c>
      <c r="S256" s="5" t="str">
        <f t="shared" si="37"/>
        <v>-</v>
      </c>
      <c r="T256" s="5" t="str">
        <f t="shared" si="38"/>
        <v>-</v>
      </c>
      <c r="U256" s="5" t="str">
        <f t="shared" si="39"/>
        <v>-</v>
      </c>
    </row>
    <row r="257" spans="1:21" x14ac:dyDescent="0.2">
      <c r="A257" s="5">
        <v>214</v>
      </c>
      <c r="B257" s="11" t="s">
        <v>107</v>
      </c>
      <c r="C257" s="8" t="s">
        <v>107</v>
      </c>
      <c r="D257" t="s">
        <v>107</v>
      </c>
      <c r="E257" t="s">
        <v>107</v>
      </c>
      <c r="F257" s="5" t="s">
        <v>107</v>
      </c>
      <c r="G257" s="5" t="s">
        <v>107</v>
      </c>
      <c r="H257" s="5" t="s">
        <v>107</v>
      </c>
      <c r="I257" s="5" t="s">
        <v>107</v>
      </c>
      <c r="J257" s="5" t="s">
        <v>107</v>
      </c>
      <c r="K257" s="5" t="s">
        <v>107</v>
      </c>
      <c r="L257" s="5" t="s">
        <v>107</v>
      </c>
      <c r="M257" s="5" t="s">
        <v>107</v>
      </c>
      <c r="N257" s="43" t="s">
        <v>107</v>
      </c>
      <c r="O257" t="s">
        <v>107</v>
      </c>
      <c r="P257" s="7" t="str">
        <f t="shared" si="18"/>
        <v>-</v>
      </c>
      <c r="Q257" s="7" t="str">
        <f t="shared" si="19"/>
        <v>-</v>
      </c>
      <c r="R257" s="7" t="str">
        <f t="shared" si="36"/>
        <v>-</v>
      </c>
      <c r="S257" s="5" t="str">
        <f t="shared" si="37"/>
        <v>-</v>
      </c>
      <c r="T257" s="5" t="str">
        <f t="shared" si="38"/>
        <v>-</v>
      </c>
      <c r="U257" s="5" t="str">
        <f t="shared" si="39"/>
        <v>-</v>
      </c>
    </row>
    <row r="258" spans="1:21" x14ac:dyDescent="0.2">
      <c r="A258" s="5">
        <v>219</v>
      </c>
      <c r="B258" s="11" t="s">
        <v>107</v>
      </c>
      <c r="C258" s="8" t="s">
        <v>980</v>
      </c>
      <c r="D258" s="9" t="s">
        <v>107</v>
      </c>
      <c r="E258" s="9" t="s">
        <v>107</v>
      </c>
      <c r="F258" s="5" t="s">
        <v>107</v>
      </c>
      <c r="G258" s="5" t="s">
        <v>107</v>
      </c>
      <c r="H258" s="5" t="s">
        <v>107</v>
      </c>
      <c r="I258" s="5" t="s">
        <v>107</v>
      </c>
      <c r="J258" s="5" t="s">
        <v>107</v>
      </c>
      <c r="K258" s="5" t="s">
        <v>107</v>
      </c>
      <c r="L258" s="5" t="s">
        <v>107</v>
      </c>
      <c r="M258" s="5" t="s">
        <v>107</v>
      </c>
      <c r="N258" s="43" t="s">
        <v>107</v>
      </c>
      <c r="O258" t="s">
        <v>107</v>
      </c>
      <c r="P258" s="7" t="str">
        <f t="shared" si="18"/>
        <v>-</v>
      </c>
      <c r="Q258" s="7" t="str">
        <f t="shared" si="19"/>
        <v>-</v>
      </c>
      <c r="R258" s="7" t="str">
        <f t="shared" si="36"/>
        <v>-</v>
      </c>
      <c r="S258" s="5" t="str">
        <f t="shared" si="37"/>
        <v>-</v>
      </c>
      <c r="T258" s="5" t="str">
        <f t="shared" si="38"/>
        <v>-</v>
      </c>
      <c r="U258" s="5" t="str">
        <f t="shared" si="39"/>
        <v>-</v>
      </c>
    </row>
    <row r="259" spans="1:21" x14ac:dyDescent="0.2">
      <c r="A259" s="5">
        <v>258</v>
      </c>
      <c r="B259" s="11" t="s">
        <v>836</v>
      </c>
      <c r="C259" s="9" t="s">
        <v>263</v>
      </c>
      <c r="D259" s="9" t="s">
        <v>363</v>
      </c>
      <c r="E259" s="9" t="s">
        <v>107</v>
      </c>
      <c r="F259" s="5" t="s">
        <v>107</v>
      </c>
      <c r="G259" s="5" t="s">
        <v>107</v>
      </c>
      <c r="H259" s="5" t="s">
        <v>107</v>
      </c>
      <c r="I259" s="5" t="s">
        <v>107</v>
      </c>
      <c r="J259" s="5" t="s">
        <v>107</v>
      </c>
      <c r="K259" s="5" t="s">
        <v>107</v>
      </c>
      <c r="L259" s="5" t="s">
        <v>107</v>
      </c>
      <c r="M259" s="5" t="s">
        <v>107</v>
      </c>
      <c r="N259" s="43" t="s">
        <v>107</v>
      </c>
      <c r="O259" t="s">
        <v>107</v>
      </c>
      <c r="P259" s="7" t="str">
        <f t="shared" ref="P259:P260" si="40">IF(F259="-","-",IF(I259="N",((F259)+(G259/60)+(H259/3600)),((F259)+(G259/60)+(H259/3600))*(-1)))</f>
        <v>-</v>
      </c>
      <c r="Q259" s="7" t="str">
        <f t="shared" ref="Q259:Q260" si="41">IF(F259="-","-",IF(M259="E",((J259)+(K259/60)+(L259/3600)),((J259)+(K259/60)+(L259/3600))*(-1)))</f>
        <v>-</v>
      </c>
      <c r="R259" s="7" t="str">
        <f t="shared" si="36"/>
        <v>-</v>
      </c>
      <c r="S259" s="5" t="str">
        <f t="shared" si="37"/>
        <v>-</v>
      </c>
      <c r="T259" s="5" t="str">
        <f t="shared" si="38"/>
        <v>-</v>
      </c>
      <c r="U259" s="5" t="str">
        <f t="shared" si="39"/>
        <v>-</v>
      </c>
    </row>
    <row r="260" spans="1:21" x14ac:dyDescent="0.2">
      <c r="A260" s="5">
        <v>259</v>
      </c>
      <c r="B260" s="11" t="s">
        <v>836</v>
      </c>
      <c r="C260" s="9" t="s">
        <v>303</v>
      </c>
      <c r="D260" s="9" t="s">
        <v>654</v>
      </c>
      <c r="E260" s="9" t="s">
        <v>997</v>
      </c>
      <c r="F260" s="12">
        <v>11</v>
      </c>
      <c r="G260" s="12">
        <v>51</v>
      </c>
      <c r="H260" s="12">
        <v>0</v>
      </c>
      <c r="I260" s="12" t="s">
        <v>131</v>
      </c>
      <c r="J260" s="12">
        <v>71</v>
      </c>
      <c r="K260" s="12">
        <v>19</v>
      </c>
      <c r="L260" s="12">
        <v>0</v>
      </c>
      <c r="M260" s="12" t="s">
        <v>138</v>
      </c>
      <c r="N260" s="39" t="s">
        <v>1206</v>
      </c>
      <c r="O260" t="s">
        <v>107</v>
      </c>
      <c r="P260" s="7">
        <f t="shared" si="40"/>
        <v>-11.85</v>
      </c>
      <c r="Q260" s="7">
        <f t="shared" si="41"/>
        <v>-71.316666666666663</v>
      </c>
      <c r="R260" s="7" t="str">
        <f t="shared" si="36"/>
        <v>11º51′00″ S</v>
      </c>
      <c r="S260" s="5" t="str">
        <f t="shared" si="37"/>
        <v>071º19′00″ W</v>
      </c>
      <c r="T260" s="5" t="str">
        <f t="shared" si="38"/>
        <v>11º51.00′S</v>
      </c>
      <c r="U260" s="5" t="str">
        <f t="shared" si="39"/>
        <v>071º19.00′W</v>
      </c>
    </row>
    <row r="261" spans="1:21" x14ac:dyDescent="0.2">
      <c r="A261" s="5">
        <v>260</v>
      </c>
      <c r="B261" s="11" t="s">
        <v>838</v>
      </c>
      <c r="C261" s="9" t="s">
        <v>433</v>
      </c>
      <c r="D261" s="9" t="s">
        <v>508</v>
      </c>
      <c r="E261" s="9" t="s">
        <v>1128</v>
      </c>
      <c r="F261" s="5">
        <v>29</v>
      </c>
      <c r="G261" s="5">
        <v>45</v>
      </c>
      <c r="H261" s="5">
        <v>50.4</v>
      </c>
      <c r="I261" s="5" t="s">
        <v>132</v>
      </c>
      <c r="J261" s="5">
        <v>98</v>
      </c>
      <c r="K261" s="5">
        <v>40</v>
      </c>
      <c r="L261" s="5">
        <v>51.6</v>
      </c>
      <c r="M261" s="5" t="s">
        <v>138</v>
      </c>
      <c r="N261" s="37" t="s">
        <v>1258</v>
      </c>
      <c r="O261" t="s">
        <v>107</v>
      </c>
      <c r="P261" s="7">
        <f t="shared" ref="P261:P262" si="42">IF(F261="-","-",IF(I261="N",((F261)+(G261/60)+(H261/3600)),((F261)+(G261/60)+(H261/3600))*(-1)))</f>
        <v>29.763999999999999</v>
      </c>
      <c r="Q261" s="7">
        <f t="shared" ref="Q261:Q262" si="43">IF(F261="-","-",IF(M261="E",((J261)+(K261/60)+(L261/3600)),((J261)+(K261/60)+(L261/3600))*(-1)))</f>
        <v>-98.681000000000012</v>
      </c>
      <c r="R261" s="7" t="str">
        <f t="shared" ref="R261:R262" si="44">IF(P261="-","-",TEXT(F261,"00")&amp;"º"&amp;TEXT(G261,"00")&amp;"′"&amp;TEXT(H261,"00")&amp;"″ "&amp;I261)</f>
        <v>29º45′50″ N</v>
      </c>
      <c r="S261" s="5" t="str">
        <f t="shared" ref="S261:S262" si="45">IF(P261="-","-",TEXT(J261,"000")&amp;"º"&amp;TEXT(K261,"00")&amp;"′"&amp;TEXT(L261,"00")&amp;"″ "&amp;M261)</f>
        <v>098º40′52″ W</v>
      </c>
      <c r="T261" s="5" t="str">
        <f t="shared" ref="T261:T262" si="46">IF(P261="-","-",TEXT(F261,"00")&amp;"º"&amp;TEXT(G261,"00")&amp;"."&amp;TEXT(H261*100/60,"00")&amp;"′"&amp;I261)</f>
        <v>29º45.84′N</v>
      </c>
      <c r="U261" s="5" t="str">
        <f t="shared" ref="U261:U262" si="47">IF(P261="-","-",TEXT(J261,"000")&amp;"º"&amp;TEXT(K261,"00")&amp;"."&amp;TEXT(L261*100/60,"00")&amp;"′"&amp;M261)</f>
        <v>098º40.86′W</v>
      </c>
    </row>
    <row r="262" spans="1:21" x14ac:dyDescent="0.2">
      <c r="A262" s="5">
        <v>261</v>
      </c>
      <c r="B262" s="11" t="s">
        <v>839</v>
      </c>
      <c r="C262" s="9" t="s">
        <v>962</v>
      </c>
      <c r="D262" s="9" t="s">
        <v>1133</v>
      </c>
      <c r="E262" s="9" t="s">
        <v>1134</v>
      </c>
      <c r="F262" s="5" t="s">
        <v>107</v>
      </c>
      <c r="G262" s="5" t="s">
        <v>107</v>
      </c>
      <c r="H262" s="5" t="s">
        <v>107</v>
      </c>
      <c r="I262" s="5" t="s">
        <v>107</v>
      </c>
      <c r="J262" s="5" t="s">
        <v>107</v>
      </c>
      <c r="K262" s="5" t="s">
        <v>107</v>
      </c>
      <c r="L262" s="5" t="s">
        <v>107</v>
      </c>
      <c r="M262" s="5" t="s">
        <v>107</v>
      </c>
      <c r="N262" s="43" t="s">
        <v>107</v>
      </c>
      <c r="O262" t="s">
        <v>107</v>
      </c>
      <c r="P262" s="7" t="str">
        <f t="shared" si="42"/>
        <v>-</v>
      </c>
      <c r="Q262" s="7" t="str">
        <f t="shared" si="43"/>
        <v>-</v>
      </c>
      <c r="R262" s="7" t="str">
        <f t="shared" si="44"/>
        <v>-</v>
      </c>
      <c r="S262" s="5" t="str">
        <f t="shared" si="45"/>
        <v>-</v>
      </c>
      <c r="T262" s="5" t="str">
        <f t="shared" si="46"/>
        <v>-</v>
      </c>
      <c r="U262" s="5" t="str">
        <f t="shared" si="47"/>
        <v>-</v>
      </c>
    </row>
    <row r="263" spans="1:21" x14ac:dyDescent="0.2">
      <c r="A263" s="5">
        <v>262</v>
      </c>
      <c r="B263" s="11" t="s">
        <v>839</v>
      </c>
      <c r="C263" s="9" t="s">
        <v>414</v>
      </c>
      <c r="D263" s="9" t="s">
        <v>435</v>
      </c>
      <c r="E263" s="9" t="s">
        <v>1137</v>
      </c>
      <c r="F263" s="5">
        <v>50</v>
      </c>
      <c r="G263" s="5">
        <v>51</v>
      </c>
      <c r="H263" s="5">
        <v>7</v>
      </c>
      <c r="I263" s="5" t="s">
        <v>132</v>
      </c>
      <c r="J263" s="5">
        <v>5</v>
      </c>
      <c r="K263" s="5">
        <v>46</v>
      </c>
      <c r="L263" s="5">
        <v>30</v>
      </c>
      <c r="M263" s="5" t="s">
        <v>133</v>
      </c>
      <c r="N263" s="36" t="s">
        <v>1260</v>
      </c>
      <c r="O263" t="s">
        <v>107</v>
      </c>
      <c r="P263" s="7">
        <f t="shared" ref="P263" si="48">IF(F263="-","-",IF(I263="N",((F263)+(G263/60)+(H263/3600)),((F263)+(G263/60)+(H263/3600))*(-1)))</f>
        <v>50.851944444444449</v>
      </c>
      <c r="Q263" s="7">
        <f t="shared" ref="Q263" si="49">IF(F263="-","-",IF(M263="E",((J263)+(K263/60)+(L263/3600)),((J263)+(K263/60)+(L263/3600))*(-1)))</f>
        <v>5.7750000000000004</v>
      </c>
      <c r="R263" s="7" t="str">
        <f t="shared" ref="R263" si="50">IF(P263="-","-",TEXT(F263,"00")&amp;"º"&amp;TEXT(G263,"00")&amp;"′"&amp;TEXT(H263,"00")&amp;"″ "&amp;I263)</f>
        <v>50º51′07″ N</v>
      </c>
      <c r="S263" s="5" t="str">
        <f t="shared" ref="S263" si="51">IF(P263="-","-",TEXT(J263,"000")&amp;"º"&amp;TEXT(K263,"00")&amp;"′"&amp;TEXT(L263,"00")&amp;"″ "&amp;M263)</f>
        <v>005º46′30″ E</v>
      </c>
      <c r="T263" s="5" t="str">
        <f t="shared" ref="T263" si="52">IF(P263="-","-",TEXT(F263,"00")&amp;"º"&amp;TEXT(G263,"00")&amp;"."&amp;TEXT(H263*100/60,"00")&amp;"′"&amp;I263)</f>
        <v>50º51.12′N</v>
      </c>
      <c r="U263" s="5" t="str">
        <f t="shared" ref="U263" si="53">IF(P263="-","-",TEXT(J263,"000")&amp;"º"&amp;TEXT(K263,"00")&amp;"."&amp;TEXT(L263*100/60,"00")&amp;"′"&amp;M263)</f>
        <v>005º46.50′E</v>
      </c>
    </row>
    <row r="264" spans="1:21" x14ac:dyDescent="0.2">
      <c r="A264" s="5">
        <v>263</v>
      </c>
      <c r="B264" s="11" t="s">
        <v>839</v>
      </c>
      <c r="C264" s="9" t="s">
        <v>414</v>
      </c>
      <c r="D264" s="9" t="s">
        <v>435</v>
      </c>
      <c r="E264" s="9" t="s">
        <v>1138</v>
      </c>
      <c r="F264" s="5">
        <v>50</v>
      </c>
      <c r="G264" s="5">
        <v>47</v>
      </c>
      <c r="H264" s="5">
        <v>52</v>
      </c>
      <c r="I264" s="5" t="s">
        <v>132</v>
      </c>
      <c r="J264" s="5">
        <v>5</v>
      </c>
      <c r="K264" s="5">
        <v>44</v>
      </c>
      <c r="L264" s="5">
        <v>42</v>
      </c>
      <c r="M264" s="5" t="s">
        <v>133</v>
      </c>
      <c r="N264" s="36" t="s">
        <v>1260</v>
      </c>
      <c r="O264" t="s">
        <v>107</v>
      </c>
      <c r="P264" s="7">
        <f t="shared" ref="P264" si="54">IF(F264="-","-",IF(I264="N",((F264)+(G264/60)+(H264/3600)),((F264)+(G264/60)+(H264/3600))*(-1)))</f>
        <v>50.797777777777775</v>
      </c>
      <c r="Q264" s="7">
        <f t="shared" ref="Q264" si="55">IF(F264="-","-",IF(M264="E",((J264)+(K264/60)+(L264/3600)),((J264)+(K264/60)+(L264/3600))*(-1)))</f>
        <v>5.7450000000000001</v>
      </c>
      <c r="R264" s="7" t="str">
        <f t="shared" ref="R264" si="56">IF(P264="-","-",TEXT(F264,"00")&amp;"º"&amp;TEXT(G264,"00")&amp;"′"&amp;TEXT(H264,"00")&amp;"″ "&amp;I264)</f>
        <v>50º47′52″ N</v>
      </c>
      <c r="S264" s="5" t="str">
        <f t="shared" ref="S264" si="57">IF(P264="-","-",TEXT(J264,"000")&amp;"º"&amp;TEXT(K264,"00")&amp;"′"&amp;TEXT(L264,"00")&amp;"″ "&amp;M264)</f>
        <v>005º44′42″ E</v>
      </c>
      <c r="T264" s="5" t="str">
        <f t="shared" ref="T264" si="58">IF(P264="-","-",TEXT(F264,"00")&amp;"º"&amp;TEXT(G264,"00")&amp;"."&amp;TEXT(H264*100/60,"00")&amp;"′"&amp;I264)</f>
        <v>50º47.87′N</v>
      </c>
      <c r="U264" s="5" t="str">
        <f t="shared" ref="U264" si="59">IF(P264="-","-",TEXT(J264,"000")&amp;"º"&amp;TEXT(K264,"00")&amp;"."&amp;TEXT(L264*100/60,"00")&amp;"′"&amp;M264)</f>
        <v>005º44.70′E</v>
      </c>
    </row>
    <row r="265" spans="1:21" x14ac:dyDescent="0.2">
      <c r="A265" s="5">
        <v>264</v>
      </c>
      <c r="B265" s="11" t="s">
        <v>839</v>
      </c>
      <c r="C265" s="9" t="s">
        <v>414</v>
      </c>
      <c r="D265" s="9" t="s">
        <v>435</v>
      </c>
      <c r="E265" s="9" t="s">
        <v>1139</v>
      </c>
      <c r="F265" s="5">
        <v>50</v>
      </c>
      <c r="G265" s="5">
        <v>51</v>
      </c>
      <c r="H265" s="5">
        <v>2</v>
      </c>
      <c r="I265" s="5" t="s">
        <v>132</v>
      </c>
      <c r="J265" s="5">
        <v>5</v>
      </c>
      <c r="K265" s="5">
        <v>50</v>
      </c>
      <c r="L265" s="5">
        <v>8</v>
      </c>
      <c r="M265" s="5" t="s">
        <v>133</v>
      </c>
      <c r="N265" s="36" t="s">
        <v>1260</v>
      </c>
      <c r="O265" t="s">
        <v>107</v>
      </c>
      <c r="P265" s="7">
        <f t="shared" ref="P265" si="60">IF(F265="-","-",IF(I265="N",((F265)+(G265/60)+(H265/3600)),((F265)+(G265/60)+(H265/3600))*(-1)))</f>
        <v>50.850555555555559</v>
      </c>
      <c r="Q265" s="7">
        <f t="shared" ref="Q265" si="61">IF(F265="-","-",IF(M265="E",((J265)+(K265/60)+(L265/3600)),((J265)+(K265/60)+(L265/3600))*(-1)))</f>
        <v>5.8355555555555556</v>
      </c>
      <c r="R265" s="7" t="str">
        <f t="shared" ref="R265" si="62">IF(P265="-","-",TEXT(F265,"00")&amp;"º"&amp;TEXT(G265,"00")&amp;"′"&amp;TEXT(H265,"00")&amp;"″ "&amp;I265)</f>
        <v>50º51′02″ N</v>
      </c>
      <c r="S265" s="5" t="str">
        <f t="shared" ref="S265" si="63">IF(P265="-","-",TEXT(J265,"000")&amp;"º"&amp;TEXT(K265,"00")&amp;"′"&amp;TEXT(L265,"00")&amp;"″ "&amp;M265)</f>
        <v>005º50′08″ E</v>
      </c>
      <c r="T265" s="5" t="str">
        <f t="shared" ref="T265" si="64">IF(P265="-","-",TEXT(F265,"00")&amp;"º"&amp;TEXT(G265,"00")&amp;"."&amp;TEXT(H265*100/60,"00")&amp;"′"&amp;I265)</f>
        <v>50º51.03′N</v>
      </c>
      <c r="U265" s="5" t="str">
        <f t="shared" ref="U265" si="65">IF(P265="-","-",TEXT(J265,"000")&amp;"º"&amp;TEXT(K265,"00")&amp;"."&amp;TEXT(L265*100/60,"00")&amp;"′"&amp;M265)</f>
        <v>005º50.13′E</v>
      </c>
    </row>
    <row r="266" spans="1:21" x14ac:dyDescent="0.2">
      <c r="A266" s="5">
        <v>265</v>
      </c>
      <c r="B266" s="11" t="s">
        <v>839</v>
      </c>
      <c r="C266" s="9" t="s">
        <v>158</v>
      </c>
      <c r="D266" s="9" t="s">
        <v>1144</v>
      </c>
      <c r="E266" s="9" t="s">
        <v>1143</v>
      </c>
      <c r="F266" s="5">
        <v>23</v>
      </c>
      <c r="G266" s="5">
        <v>17</v>
      </c>
      <c r="H266" s="5">
        <v>17</v>
      </c>
      <c r="I266" s="5" t="s">
        <v>132</v>
      </c>
      <c r="J266" s="5">
        <v>113</v>
      </c>
      <c r="K266" s="5">
        <v>49</v>
      </c>
      <c r="L266" s="5">
        <v>41</v>
      </c>
      <c r="M266" s="5" t="s">
        <v>133</v>
      </c>
      <c r="N266" s="36" t="s">
        <v>1258</v>
      </c>
      <c r="O266" t="s">
        <v>107</v>
      </c>
      <c r="P266" s="7">
        <f t="shared" ref="P266" si="66">IF(F266="-","-",IF(I266="N",((F266)+(G266/60)+(H266/3600)),((F266)+(G266/60)+(H266/3600))*(-1)))</f>
        <v>23.288055555555559</v>
      </c>
      <c r="Q266" s="7">
        <f t="shared" ref="Q266" si="67">IF(F266="-","-",IF(M266="E",((J266)+(K266/60)+(L266/3600)),((J266)+(K266/60)+(L266/3600))*(-1)))</f>
        <v>113.82805555555555</v>
      </c>
      <c r="R266" s="7" t="str">
        <f t="shared" ref="R266" si="68">IF(P266="-","-",TEXT(F266,"00")&amp;"º"&amp;TEXT(G266,"00")&amp;"′"&amp;TEXT(H266,"00")&amp;"″ "&amp;I266)</f>
        <v>23º17′17″ N</v>
      </c>
      <c r="S266" s="5" t="str">
        <f t="shared" ref="S266" si="69">IF(P266="-","-",TEXT(J266,"000")&amp;"º"&amp;TEXT(K266,"00")&amp;"′"&amp;TEXT(L266,"00")&amp;"″ "&amp;M266)</f>
        <v>113º49′41″ E</v>
      </c>
      <c r="T266" s="5" t="str">
        <f t="shared" ref="T266" si="70">IF(P266="-","-",TEXT(F266,"00")&amp;"º"&amp;TEXT(G266,"00")&amp;"."&amp;TEXT(H266*100/60,"00")&amp;"′"&amp;I266)</f>
        <v>23º17.28′N</v>
      </c>
      <c r="U266" s="5" t="str">
        <f t="shared" ref="U266" si="71">IF(P266="-","-",TEXT(J266,"000")&amp;"º"&amp;TEXT(K266,"00")&amp;"."&amp;TEXT(L266*100/60,"00")&amp;"′"&amp;M266)</f>
        <v>113º49.68′E</v>
      </c>
    </row>
    <row r="267" spans="1:21" x14ac:dyDescent="0.2">
      <c r="A267" s="5">
        <v>266</v>
      </c>
      <c r="B267" s="11" t="s">
        <v>839</v>
      </c>
      <c r="C267" s="9" t="s">
        <v>158</v>
      </c>
      <c r="D267" s="9" t="s">
        <v>1144</v>
      </c>
      <c r="E267" s="9" t="s">
        <v>1145</v>
      </c>
      <c r="F267" s="5">
        <v>23</v>
      </c>
      <c r="G267" s="5">
        <v>39</v>
      </c>
      <c r="H267" s="5">
        <v>0</v>
      </c>
      <c r="I267" s="5" t="s">
        <v>132</v>
      </c>
      <c r="J267" s="5">
        <v>113</v>
      </c>
      <c r="K267" s="5">
        <v>40</v>
      </c>
      <c r="L267" s="5">
        <v>0</v>
      </c>
      <c r="M267" s="5" t="s">
        <v>133</v>
      </c>
      <c r="N267" s="37" t="s">
        <v>1258</v>
      </c>
      <c r="O267" t="s">
        <v>107</v>
      </c>
      <c r="P267" s="7">
        <f t="shared" ref="P267" si="72">IF(F267="-","-",IF(I267="N",((F267)+(G267/60)+(H267/3600)),((F267)+(G267/60)+(H267/3600))*(-1)))</f>
        <v>23.65</v>
      </c>
      <c r="Q267" s="7">
        <f t="shared" ref="Q267" si="73">IF(F267="-","-",IF(M267="E",((J267)+(K267/60)+(L267/3600)),((J267)+(K267/60)+(L267/3600))*(-1)))</f>
        <v>113.66666666666667</v>
      </c>
      <c r="R267" s="7" t="str">
        <f t="shared" ref="R267" si="74">IF(P267="-","-",TEXT(F267,"00")&amp;"º"&amp;TEXT(G267,"00")&amp;"′"&amp;TEXT(H267,"00")&amp;"″ "&amp;I267)</f>
        <v>23º39′00″ N</v>
      </c>
      <c r="S267" s="5" t="str">
        <f t="shared" ref="S267" si="75">IF(P267="-","-",TEXT(J267,"000")&amp;"º"&amp;TEXT(K267,"00")&amp;"′"&amp;TEXT(L267,"00")&amp;"″ "&amp;M267)</f>
        <v>113º40′00″ E</v>
      </c>
      <c r="T267" s="5" t="str">
        <f t="shared" ref="T267" si="76">IF(P267="-","-",TEXT(F267,"00")&amp;"º"&amp;TEXT(G267,"00")&amp;"."&amp;TEXT(H267*100/60,"00")&amp;"′"&amp;I267)</f>
        <v>23º39.00′N</v>
      </c>
      <c r="U267" s="5" t="str">
        <f t="shared" ref="U267" si="77">IF(P267="-","-",TEXT(J267,"000")&amp;"º"&amp;TEXT(K267,"00")&amp;"."&amp;TEXT(L267*100/60,"00")&amp;"′"&amp;M267)</f>
        <v>113º40.00′E</v>
      </c>
    </row>
    <row r="268" spans="1:21" x14ac:dyDescent="0.2">
      <c r="A268" s="5">
        <v>267</v>
      </c>
      <c r="B268" s="11" t="s">
        <v>839</v>
      </c>
      <c r="C268" s="9" t="s">
        <v>962</v>
      </c>
      <c r="D268" s="9" t="s">
        <v>1149</v>
      </c>
      <c r="E268" s="9" t="s">
        <v>1150</v>
      </c>
      <c r="F268" s="5">
        <v>40</v>
      </c>
      <c r="G268" s="5">
        <v>49</v>
      </c>
      <c r="H268" s="5">
        <v>11</v>
      </c>
      <c r="I268" s="5" t="s">
        <v>132</v>
      </c>
      <c r="J268" s="5">
        <v>14</v>
      </c>
      <c r="K268" s="5">
        <v>20</v>
      </c>
      <c r="L268" s="5">
        <v>28</v>
      </c>
      <c r="M268" s="5" t="s">
        <v>133</v>
      </c>
      <c r="N268" s="37" t="s">
        <v>1258</v>
      </c>
      <c r="O268" t="s">
        <v>107</v>
      </c>
      <c r="P268" s="7">
        <f t="shared" ref="P268" si="78">IF(F268="-","-",IF(I268="N",((F268)+(G268/60)+(H268/3600)),((F268)+(G268/60)+(H268/3600))*(-1)))</f>
        <v>40.819722222222225</v>
      </c>
      <c r="Q268" s="7">
        <f t="shared" ref="Q268" si="79">IF(F268="-","-",IF(M268="E",((J268)+(K268/60)+(L268/3600)),((J268)+(K268/60)+(L268/3600))*(-1)))</f>
        <v>14.341111111111111</v>
      </c>
      <c r="R268" s="7" t="str">
        <f t="shared" ref="R268" si="80">IF(P268="-","-",TEXT(F268,"00")&amp;"º"&amp;TEXT(G268,"00")&amp;"′"&amp;TEXT(H268,"00")&amp;"″ "&amp;I268)</f>
        <v>40º49′11″ N</v>
      </c>
      <c r="S268" s="5" t="str">
        <f t="shared" ref="S268" si="81">IF(P268="-","-",TEXT(J268,"000")&amp;"º"&amp;TEXT(K268,"00")&amp;"′"&amp;TEXT(L268,"00")&amp;"″ "&amp;M268)</f>
        <v>014º20′28″ E</v>
      </c>
      <c r="T268" s="5" t="str">
        <f t="shared" ref="T268" si="82">IF(P268="-","-",TEXT(F268,"00")&amp;"º"&amp;TEXT(G268,"00")&amp;"."&amp;TEXT(H268*100/60,"00")&amp;"′"&amp;I268)</f>
        <v>40º49.18′N</v>
      </c>
      <c r="U268" s="5" t="str">
        <f t="shared" ref="U268" si="83">IF(P268="-","-",TEXT(J268,"000")&amp;"º"&amp;TEXT(K268,"00")&amp;"."&amp;TEXT(L268*100/60,"00")&amp;"′"&amp;M268)</f>
        <v>014º20.47′E</v>
      </c>
    </row>
    <row r="269" spans="1:21" x14ac:dyDescent="0.2">
      <c r="A269" s="5">
        <v>268</v>
      </c>
      <c r="B269" s="11" t="s">
        <v>839</v>
      </c>
      <c r="C269" s="9" t="s">
        <v>1154</v>
      </c>
      <c r="D269" s="9" t="s">
        <v>1155</v>
      </c>
      <c r="E269" s="9" t="s">
        <v>1156</v>
      </c>
      <c r="F269" s="5">
        <v>52</v>
      </c>
      <c r="G269" s="5">
        <v>14</v>
      </c>
      <c r="H269" s="5">
        <v>50.64</v>
      </c>
      <c r="I269" s="5" t="s">
        <v>132</v>
      </c>
      <c r="J269" s="5">
        <v>0</v>
      </c>
      <c r="K269" s="5">
        <v>43</v>
      </c>
      <c r="L269" s="5">
        <v>5.88</v>
      </c>
      <c r="M269" s="5" t="s">
        <v>133</v>
      </c>
      <c r="N269" s="37" t="s">
        <v>1258</v>
      </c>
      <c r="O269" t="s">
        <v>107</v>
      </c>
      <c r="P269" s="7">
        <f t="shared" ref="P269" si="84">IF(F269="-","-",IF(I269="N",((F269)+(G269/60)+(H269/3600)),((F269)+(G269/60)+(H269/3600))*(-1)))</f>
        <v>52.247399999999999</v>
      </c>
      <c r="Q269" s="7">
        <f t="shared" ref="Q269" si="85">IF(F269="-","-",IF(M269="E",((J269)+(K269/60)+(L269/3600)),((J269)+(K269/60)+(L269/3600))*(-1)))</f>
        <v>0.71830000000000005</v>
      </c>
      <c r="R269" s="7" t="str">
        <f t="shared" ref="R269" si="86">IF(P269="-","-",TEXT(F269,"00")&amp;"º"&amp;TEXT(G269,"00")&amp;"′"&amp;TEXT(H269,"00")&amp;"″ "&amp;I269)</f>
        <v>52º14′51″ N</v>
      </c>
      <c r="S269" s="5" t="str">
        <f t="shared" ref="S269" si="87">IF(P269="-","-",TEXT(J269,"000")&amp;"º"&amp;TEXT(K269,"00")&amp;"′"&amp;TEXT(L269,"00")&amp;"″ "&amp;M269)</f>
        <v>000º43′06″ E</v>
      </c>
      <c r="T269" s="5" t="str">
        <f t="shared" ref="T269" si="88">IF(P269="-","-",TEXT(F269,"00")&amp;"º"&amp;TEXT(G269,"00")&amp;"."&amp;TEXT(H269*100/60,"00")&amp;"′"&amp;I269)</f>
        <v>52º14.84′N</v>
      </c>
      <c r="U269" s="5" t="str">
        <f t="shared" ref="U269" si="89">IF(P269="-","-",TEXT(J269,"000")&amp;"º"&amp;TEXT(K269,"00")&amp;"."&amp;TEXT(L269*100/60,"00")&amp;"′"&amp;M269)</f>
        <v>000º43.10′E</v>
      </c>
    </row>
    <row r="270" spans="1:21" x14ac:dyDescent="0.2">
      <c r="A270" s="5">
        <v>269</v>
      </c>
      <c r="B270" s="11" t="s">
        <v>836</v>
      </c>
      <c r="C270" s="9" t="s">
        <v>283</v>
      </c>
      <c r="D270" s="9" t="s">
        <v>284</v>
      </c>
      <c r="E270" s="9" t="s">
        <v>1164</v>
      </c>
      <c r="F270" s="5">
        <v>20</v>
      </c>
      <c r="G270" s="5">
        <v>5</v>
      </c>
      <c r="H270" s="5">
        <v>40.270000000000003</v>
      </c>
      <c r="I270" s="5" t="s">
        <v>131</v>
      </c>
      <c r="J270" s="5">
        <v>44</v>
      </c>
      <c r="K270" s="5">
        <v>4</v>
      </c>
      <c r="L270" s="5">
        <v>36.07</v>
      </c>
      <c r="M270" s="5" t="s">
        <v>138</v>
      </c>
      <c r="N270" s="36" t="s">
        <v>1261</v>
      </c>
      <c r="O270" t="s">
        <v>107</v>
      </c>
      <c r="P270" s="7">
        <f t="shared" ref="P270" si="90">IF(F270="-","-",IF(I270="N",((F270)+(G270/60)+(H270/3600)),((F270)+(G270/60)+(H270/3600))*(-1)))</f>
        <v>-20.094519444444444</v>
      </c>
      <c r="Q270" s="7">
        <f t="shared" ref="Q270" si="91">IF(F270="-","-",IF(M270="E",((J270)+(K270/60)+(L270/3600)),((J270)+(K270/60)+(L270/3600))*(-1)))</f>
        <v>-44.076686111111115</v>
      </c>
      <c r="R270" s="7" t="str">
        <f t="shared" ref="R270" si="92">IF(P270="-","-",TEXT(F270,"00")&amp;"º"&amp;TEXT(G270,"00")&amp;"′"&amp;TEXT(H270,"00")&amp;"″ "&amp;I270)</f>
        <v>20º05′40″ S</v>
      </c>
      <c r="S270" s="5" t="str">
        <f t="shared" ref="S270" si="93">IF(P270="-","-",TEXT(J270,"000")&amp;"º"&amp;TEXT(K270,"00")&amp;"′"&amp;TEXT(L270,"00")&amp;"″ "&amp;M270)</f>
        <v>044º04′36″ W</v>
      </c>
      <c r="T270" s="5" t="str">
        <f t="shared" ref="T270" si="94">IF(P270="-","-",TEXT(F270,"00")&amp;"º"&amp;TEXT(G270,"00")&amp;"."&amp;TEXT(H270*100/60,"00")&amp;"′"&amp;I270)</f>
        <v>20º05.67′S</v>
      </c>
      <c r="U270" s="5" t="str">
        <f t="shared" ref="U270" si="95">IF(P270="-","-",TEXT(J270,"000")&amp;"º"&amp;TEXT(K270,"00")&amp;"."&amp;TEXT(L270*100/60,"00")&amp;"′"&amp;M270)</f>
        <v>044º04.60′W</v>
      </c>
    </row>
  </sheetData>
  <autoFilter ref="A2:Q258">
    <sortState ref="A3:Q259">
      <sortCondition ref="B2:B210" customList="Nearctic,Neotropic,Palearctic,Afrotropic,Indomalaya,Australasia"/>
      <sortCondition ref="C2:C210"/>
      <sortCondition ref="D2:D210"/>
      <sortCondition ref="E2:E210"/>
    </sortState>
  </autoFilter>
  <mergeCells count="6">
    <mergeCell ref="T1:U1"/>
    <mergeCell ref="B1:E1"/>
    <mergeCell ref="F1:I1"/>
    <mergeCell ref="J1:M1"/>
    <mergeCell ref="P1:Q1"/>
    <mergeCell ref="R1:S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Data</vt:lpstr>
      <vt:lpstr>Ref</vt:lpstr>
      <vt:lpstr>Gazetteer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JPHoppe</dc:creator>
  <cp:lastModifiedBy>JPH</cp:lastModifiedBy>
  <dcterms:created xsi:type="dcterms:W3CDTF">2019-02-15T14:09:23Z</dcterms:created>
  <dcterms:modified xsi:type="dcterms:W3CDTF">2020-06-13T02:23:35Z</dcterms:modified>
</cp:coreProperties>
</file>